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7AB3494D-920D-48B2-AF96-93CBE9D4BFF2}" xr6:coauthVersionLast="47" xr6:coauthVersionMax="47" xr10:uidLastSave="{00000000-0000-0000-0000-000000000000}"/>
  <bookViews>
    <workbookView xWindow="-23850" yWindow="1215" windowWidth="22065" windowHeight="17280" tabRatio="684" firstSheet="2" activeTab="5"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J173" i="7" l="1"/>
  <c r="DJ160" i="7"/>
  <c r="DJ158" i="7"/>
  <c r="DJ157" i="7"/>
  <c r="DJ150" i="7"/>
  <c r="DJ153" i="7"/>
  <c r="DJ156" i="7"/>
  <c r="DJ149" i="7"/>
  <c r="DI149" i="7"/>
  <c r="EZ107" i="7" l="1"/>
  <c r="EZ106" i="7"/>
  <c r="EZ105" i="7"/>
  <c r="EZ104" i="7"/>
  <c r="EZ103" i="7"/>
  <c r="EZ54" i="7"/>
  <c r="EZ53" i="7"/>
  <c r="EZ52" i="7"/>
  <c r="EZ51" i="7"/>
  <c r="EZ50" i="7"/>
  <c r="EZ49" i="7"/>
  <c r="EZ39" i="7"/>
  <c r="EZ38" i="7"/>
  <c r="EZ35" i="7"/>
  <c r="EZ32" i="7"/>
  <c r="EZ31" i="7"/>
  <c r="EZ30" i="7"/>
  <c r="EZ29" i="7"/>
  <c r="EZ28" i="7"/>
  <c r="EZ26" i="7"/>
  <c r="EZ23" i="7"/>
  <c r="EZ21" i="7"/>
  <c r="EZ20" i="7"/>
  <c r="EZ18" i="7"/>
  <c r="EZ17" i="7"/>
  <c r="EZ16" i="7"/>
  <c r="EZ15" i="7"/>
  <c r="EZ14" i="7"/>
  <c r="EZ13" i="7"/>
  <c r="EZ12" i="7"/>
  <c r="EZ11" i="7"/>
  <c r="EZ10" i="7"/>
  <c r="EZ9" i="7"/>
  <c r="EZ8" i="7"/>
  <c r="EZ7" i="7"/>
  <c r="EZ6" i="7"/>
  <c r="EZ5" i="7"/>
  <c r="EZ4" i="7"/>
  <c r="EZ3" i="7"/>
  <c r="DN118" i="7"/>
  <c r="DM118" i="7"/>
  <c r="DL118" i="7"/>
  <c r="DK118" i="7"/>
  <c r="DK120" i="7" s="1"/>
  <c r="DK124" i="7" s="1"/>
  <c r="FK136" i="7"/>
  <c r="FJ136" i="7"/>
  <c r="FI136" i="7"/>
  <c r="FH136" i="7"/>
  <c r="FG136" i="7"/>
  <c r="FC115" i="7"/>
  <c r="FB54" i="7"/>
  <c r="FC54" i="7" s="1"/>
  <c r="FD54" i="7" s="1"/>
  <c r="FE54" i="7" s="1"/>
  <c r="FF54" i="7" s="1"/>
  <c r="FG54" i="7" s="1"/>
  <c r="FH54" i="7" s="1"/>
  <c r="FI54" i="7" s="1"/>
  <c r="FJ54" i="7" s="1"/>
  <c r="FK54" i="7" s="1"/>
  <c r="FB53" i="7"/>
  <c r="FC53" i="7" s="1"/>
  <c r="FD53" i="7" s="1"/>
  <c r="FE53" i="7" s="1"/>
  <c r="FF53" i="7" s="1"/>
  <c r="FG53" i="7" s="1"/>
  <c r="FH53" i="7" s="1"/>
  <c r="FI53" i="7" s="1"/>
  <c r="FJ53" i="7" s="1"/>
  <c r="FK53" i="7" s="1"/>
  <c r="FC52" i="7"/>
  <c r="FD52" i="7" s="1"/>
  <c r="FE52" i="7" s="1"/>
  <c r="FF52" i="7" s="1"/>
  <c r="FG52" i="7" s="1"/>
  <c r="FH52" i="7" s="1"/>
  <c r="FI52" i="7" s="1"/>
  <c r="FJ52" i="7" s="1"/>
  <c r="FK52" i="7" s="1"/>
  <c r="FB52" i="7"/>
  <c r="FC51" i="7"/>
  <c r="FD51" i="7" s="1"/>
  <c r="FE51" i="7" s="1"/>
  <c r="FF51" i="7" s="1"/>
  <c r="FG51" i="7" s="1"/>
  <c r="FH51" i="7" s="1"/>
  <c r="FI51" i="7" s="1"/>
  <c r="FJ51" i="7" s="1"/>
  <c r="FK51" i="7" s="1"/>
  <c r="FB51" i="7"/>
  <c r="FC26" i="7"/>
  <c r="FD26" i="7" s="1"/>
  <c r="FE26" i="7" s="1"/>
  <c r="FF26" i="7" s="1"/>
  <c r="FG26" i="7" s="1"/>
  <c r="FH26" i="7" s="1"/>
  <c r="FI26" i="7" s="1"/>
  <c r="FJ26" i="7" s="1"/>
  <c r="FK26" i="7" s="1"/>
  <c r="FB26" i="7"/>
  <c r="FB18" i="7"/>
  <c r="FC18" i="7" s="1"/>
  <c r="FD18" i="7" s="1"/>
  <c r="FE18" i="7" s="1"/>
  <c r="FF18" i="7" s="1"/>
  <c r="FG18" i="7" s="1"/>
  <c r="FH18" i="7" s="1"/>
  <c r="FI18" i="7" s="1"/>
  <c r="FJ18" i="7" s="1"/>
  <c r="FK18" i="7" s="1"/>
  <c r="FC17" i="7"/>
  <c r="FD17" i="7" s="1"/>
  <c r="FE17" i="7" s="1"/>
  <c r="FF17" i="7" s="1"/>
  <c r="FG17" i="7" s="1"/>
  <c r="FH17" i="7" s="1"/>
  <c r="FI17" i="7" s="1"/>
  <c r="FJ17" i="7" s="1"/>
  <c r="FK17" i="7" s="1"/>
  <c r="FB17" i="7"/>
  <c r="FC15" i="7"/>
  <c r="FD15" i="7" s="1"/>
  <c r="FE15" i="7" s="1"/>
  <c r="FF15" i="7" s="1"/>
  <c r="FG15" i="7" s="1"/>
  <c r="FH15" i="7" s="1"/>
  <c r="FI15" i="7" s="1"/>
  <c r="FJ15" i="7" s="1"/>
  <c r="FK15" i="7" s="1"/>
  <c r="FB15" i="7"/>
  <c r="FC12" i="7"/>
  <c r="FD12" i="7" s="1"/>
  <c r="FE12" i="7" s="1"/>
  <c r="FF12" i="7" s="1"/>
  <c r="FG12" i="7" s="1"/>
  <c r="FH12" i="7" s="1"/>
  <c r="FI12" i="7" s="1"/>
  <c r="FJ12" i="7" s="1"/>
  <c r="FK12" i="7" s="1"/>
  <c r="FB12" i="7"/>
  <c r="FG121" i="7"/>
  <c r="FH121" i="7" s="1"/>
  <c r="FI121" i="7" s="1"/>
  <c r="FJ121" i="7" s="1"/>
  <c r="FK121" i="7" s="1"/>
  <c r="FG128" i="7"/>
  <c r="FH128" i="7" s="1"/>
  <c r="FI128" i="7" s="1"/>
  <c r="FJ128" i="7" s="1"/>
  <c r="FK128" i="7" s="1"/>
  <c r="FA128" i="7"/>
  <c r="FA121" i="7"/>
  <c r="FA117" i="7"/>
  <c r="FA116" i="7"/>
  <c r="FA115" i="7"/>
  <c r="FA107" i="7"/>
  <c r="FA106" i="7"/>
  <c r="FA105" i="7"/>
  <c r="FA104" i="7"/>
  <c r="FA103" i="7"/>
  <c r="FA54" i="7"/>
  <c r="FA53" i="7"/>
  <c r="FA52" i="7"/>
  <c r="FA51" i="7"/>
  <c r="FA50" i="7"/>
  <c r="FA49" i="7"/>
  <c r="FA38" i="7"/>
  <c r="FA35" i="7"/>
  <c r="FA32" i="7"/>
  <c r="FA31" i="7"/>
  <c r="FA30" i="7"/>
  <c r="FA29" i="7"/>
  <c r="FA28" i="7"/>
  <c r="FA26" i="7"/>
  <c r="FA23" i="7"/>
  <c r="FA21" i="7"/>
  <c r="FA20" i="7"/>
  <c r="FA18" i="7"/>
  <c r="FA17" i="7"/>
  <c r="FA16" i="7"/>
  <c r="FA15" i="7"/>
  <c r="FA14" i="7"/>
  <c r="FA13" i="7"/>
  <c r="FA12" i="7"/>
  <c r="FA11" i="7"/>
  <c r="FA10" i="7"/>
  <c r="FA9" i="7"/>
  <c r="FA8" i="7"/>
  <c r="FA7" i="7"/>
  <c r="FA6" i="7"/>
  <c r="FA5" i="7"/>
  <c r="FA4" i="7"/>
  <c r="FA3" i="7"/>
  <c r="DN139" i="7"/>
  <c r="DM139" i="7"/>
  <c r="DL139" i="7"/>
  <c r="DK139" i="7"/>
  <c r="DN130" i="7"/>
  <c r="DM130" i="7"/>
  <c r="DL130" i="7"/>
  <c r="DK130" i="7"/>
  <c r="DN128" i="7"/>
  <c r="DM128" i="7"/>
  <c r="DL128" i="7"/>
  <c r="DK128" i="7"/>
  <c r="DL124" i="7"/>
  <c r="DL125" i="7" s="1"/>
  <c r="DL126" i="7" s="1"/>
  <c r="DL127" i="7" s="1"/>
  <c r="DN117" i="7"/>
  <c r="DM117" i="7"/>
  <c r="DL117" i="7"/>
  <c r="DK117" i="7"/>
  <c r="DN120" i="7"/>
  <c r="DN124" i="7" s="1"/>
  <c r="DN125" i="7" s="1"/>
  <c r="DN126" i="7" s="1"/>
  <c r="DN127" i="7" s="1"/>
  <c r="DM120" i="7"/>
  <c r="DM124" i="7" s="1"/>
  <c r="DL120" i="7"/>
  <c r="DN116" i="7"/>
  <c r="DM116" i="7"/>
  <c r="DL116" i="7"/>
  <c r="DK116" i="7"/>
  <c r="DJ130" i="7"/>
  <c r="DI130" i="7"/>
  <c r="DH130" i="7"/>
  <c r="DG130" i="7"/>
  <c r="DF117" i="7"/>
  <c r="DJ124" i="7"/>
  <c r="DJ126" i="7" s="1"/>
  <c r="DJ127" i="7" s="1"/>
  <c r="DJ120" i="7"/>
  <c r="DJ117" i="7"/>
  <c r="DN4" i="7"/>
  <c r="DM4" i="7"/>
  <c r="DL4" i="7"/>
  <c r="DK4" i="7"/>
  <c r="DK115" i="7" s="1"/>
  <c r="DN18" i="7"/>
  <c r="DM18" i="7"/>
  <c r="DL18" i="7"/>
  <c r="DK18" i="7"/>
  <c r="DN23" i="7"/>
  <c r="DM23" i="7"/>
  <c r="DL23" i="7"/>
  <c r="DK23" i="7"/>
  <c r="DL32" i="7"/>
  <c r="DM32" i="7" s="1"/>
  <c r="DN32" i="7" s="1"/>
  <c r="DK31" i="7"/>
  <c r="DL31" i="7" s="1"/>
  <c r="DM31" i="7" s="1"/>
  <c r="DN31" i="7" s="1"/>
  <c r="DK30" i="7"/>
  <c r="DL30" i="7" s="1"/>
  <c r="DM30" i="7" s="1"/>
  <c r="DN30" i="7" s="1"/>
  <c r="DK29" i="7"/>
  <c r="DL29" i="7" s="1"/>
  <c r="DM29" i="7" s="1"/>
  <c r="DN29" i="7" s="1"/>
  <c r="DK28" i="7"/>
  <c r="DL28" i="7" s="1"/>
  <c r="DM28" i="7" s="1"/>
  <c r="DN28" i="7" s="1"/>
  <c r="DK32" i="7"/>
  <c r="DK51" i="7"/>
  <c r="DL51" i="7" s="1"/>
  <c r="DM51" i="7" s="1"/>
  <c r="DN51" i="7" s="1"/>
  <c r="DL50" i="7"/>
  <c r="DM50" i="7" s="1"/>
  <c r="DN50" i="7" s="1"/>
  <c r="DK50" i="7"/>
  <c r="DN54" i="7"/>
  <c r="DM54" i="7"/>
  <c r="DL54" i="7"/>
  <c r="DK54" i="7"/>
  <c r="DN53" i="7"/>
  <c r="DM53" i="7"/>
  <c r="DL53" i="7"/>
  <c r="DK53" i="7"/>
  <c r="DN52" i="7"/>
  <c r="DM52" i="7"/>
  <c r="DL52" i="7"/>
  <c r="DK52" i="7"/>
  <c r="DL49" i="7"/>
  <c r="DM49" i="7" s="1"/>
  <c r="DK49" i="7"/>
  <c r="DN38" i="7"/>
  <c r="DM38" i="7"/>
  <c r="DL38" i="7"/>
  <c r="DK38" i="7"/>
  <c r="DN35" i="7"/>
  <c r="DM35" i="7"/>
  <c r="DL35" i="7"/>
  <c r="DK35" i="7"/>
  <c r="DN106" i="7"/>
  <c r="DM106" i="7"/>
  <c r="DL106" i="7"/>
  <c r="DN105" i="7"/>
  <c r="DM105" i="7"/>
  <c r="DL105" i="7"/>
  <c r="DK105" i="7"/>
  <c r="DN104" i="7"/>
  <c r="DM104" i="7"/>
  <c r="DL104" i="7"/>
  <c r="DK104" i="7"/>
  <c r="DN103" i="7"/>
  <c r="DM103" i="7"/>
  <c r="DL103" i="7"/>
  <c r="DK103" i="7"/>
  <c r="DK106" i="7"/>
  <c r="DN107" i="7"/>
  <c r="DM107" i="7"/>
  <c r="DL107" i="7"/>
  <c r="DK107" i="7"/>
  <c r="DN26" i="7"/>
  <c r="DM26" i="7"/>
  <c r="DL26" i="7"/>
  <c r="DK26" i="7"/>
  <c r="DN21" i="7"/>
  <c r="DM21" i="7"/>
  <c r="DL21" i="7"/>
  <c r="DK21" i="7"/>
  <c r="DN20" i="7"/>
  <c r="DM20" i="7"/>
  <c r="DL20" i="7"/>
  <c r="DK20" i="7"/>
  <c r="DN5" i="7"/>
  <c r="DM5" i="7"/>
  <c r="DL5" i="7"/>
  <c r="DK5" i="7"/>
  <c r="DN7" i="7"/>
  <c r="DM7" i="7"/>
  <c r="DL7" i="7"/>
  <c r="DK7" i="7"/>
  <c r="DN17" i="7"/>
  <c r="DM17" i="7"/>
  <c r="DL17" i="7"/>
  <c r="DK17" i="7"/>
  <c r="DN16" i="7"/>
  <c r="DM16" i="7"/>
  <c r="DL16" i="7"/>
  <c r="DK16" i="7"/>
  <c r="DN15" i="7"/>
  <c r="DM15" i="7"/>
  <c r="DL15" i="7"/>
  <c r="DK15" i="7"/>
  <c r="DN14" i="7"/>
  <c r="DM14" i="7"/>
  <c r="DL14" i="7"/>
  <c r="DK14" i="7"/>
  <c r="DN13" i="7"/>
  <c r="DM13" i="7"/>
  <c r="DL13" i="7"/>
  <c r="DK13" i="7"/>
  <c r="DN12" i="7"/>
  <c r="DM12" i="7"/>
  <c r="DL12" i="7"/>
  <c r="DK12" i="7"/>
  <c r="DN11" i="7"/>
  <c r="DM11" i="7"/>
  <c r="DL11" i="7"/>
  <c r="DK11" i="7"/>
  <c r="DN10" i="7"/>
  <c r="DM10" i="7"/>
  <c r="DL10" i="7"/>
  <c r="DK10" i="7"/>
  <c r="DN9" i="7"/>
  <c r="DM9" i="7"/>
  <c r="DL9" i="7"/>
  <c r="DK9" i="7"/>
  <c r="DN8" i="7"/>
  <c r="DM8" i="7"/>
  <c r="DL8" i="7"/>
  <c r="DK8" i="7"/>
  <c r="DN6" i="7"/>
  <c r="DM6" i="7"/>
  <c r="DL6" i="7"/>
  <c r="DK6" i="7"/>
  <c r="DN3" i="7"/>
  <c r="DM3" i="7"/>
  <c r="DL3" i="7"/>
  <c r="DK3" i="7"/>
  <c r="EZ115" i="7" l="1"/>
  <c r="DM125" i="7"/>
  <c r="DM126" i="7"/>
  <c r="DM127" i="7" s="1"/>
  <c r="DK125" i="7"/>
  <c r="FA125" i="7" s="1"/>
  <c r="DK126" i="7"/>
  <c r="DK127" i="7" s="1"/>
  <c r="FA118" i="7"/>
  <c r="DL115" i="7"/>
  <c r="DN49" i="7"/>
  <c r="DN115" i="7" s="1"/>
  <c r="DM115" i="7"/>
  <c r="DJ139" i="7" l="1"/>
  <c r="DJ115" i="7"/>
  <c r="DJ104" i="7"/>
  <c r="DH126" i="7"/>
  <c r="DG126" i="7"/>
  <c r="DI124" i="7"/>
  <c r="DI126" i="7" s="1"/>
  <c r="DI127" i="7" s="1"/>
  <c r="DH124" i="7"/>
  <c r="DG124" i="7"/>
  <c r="DI104" i="7"/>
  <c r="DI115" i="7"/>
  <c r="DI117" i="7" s="1"/>
  <c r="EP7" i="7"/>
  <c r="EQ7" i="7"/>
  <c r="ER7" i="7"/>
  <c r="ES7" i="7"/>
  <c r="ET7" i="7"/>
  <c r="ET5" i="7"/>
  <c r="ES5" i="7"/>
  <c r="ER5" i="7"/>
  <c r="EQ5" i="7"/>
  <c r="BS4" i="7"/>
  <c r="BT4" i="7" s="1"/>
  <c r="BU4" i="7" s="1"/>
  <c r="BV4" i="7" s="1"/>
  <c r="BW106" i="7" l="1"/>
  <c r="BX106" i="7"/>
  <c r="BS28" i="7"/>
  <c r="BW28" i="7"/>
  <c r="BY106" i="7" l="1"/>
  <c r="BZ70" i="7" l="1"/>
  <c r="BZ106" i="7"/>
  <c r="BZ107" i="7"/>
  <c r="BV59" i="7"/>
  <c r="BZ59" i="7"/>
  <c r="BZ115" i="7" s="1"/>
  <c r="BZ132" i="7" s="1"/>
  <c r="BV106" i="7"/>
  <c r="BV82" i="7"/>
  <c r="BZ82" i="7"/>
  <c r="BR70" i="7"/>
  <c r="BV70" i="7"/>
  <c r="CA132" i="7"/>
  <c r="CA106" i="7"/>
  <c r="CA70" i="7"/>
  <c r="CA115" i="7"/>
  <c r="CA131" i="7" s="1"/>
  <c r="CA107" i="7"/>
  <c r="CA59" i="7"/>
  <c r="CA82" i="7"/>
  <c r="CB70" i="7"/>
  <c r="CB106" i="7"/>
  <c r="CB107" i="7"/>
  <c r="CB59" i="7"/>
  <c r="CB115" i="7" s="1"/>
  <c r="CB117" i="7" s="1"/>
  <c r="CB82" i="7"/>
  <c r="CC107" i="7"/>
  <c r="CG59" i="7"/>
  <c r="CC59" i="7"/>
  <c r="CC106" i="7"/>
  <c r="CG106" i="7"/>
  <c r="CG70" i="7"/>
  <c r="CC70" i="7"/>
  <c r="CG82" i="7"/>
  <c r="CG115" i="7" s="1"/>
  <c r="CC82" i="7"/>
  <c r="CD107" i="7"/>
  <c r="CD106" i="7"/>
  <c r="CH106" i="7"/>
  <c r="CD59" i="7"/>
  <c r="CD115" i="7" s="1"/>
  <c r="CH59" i="7"/>
  <c r="CH70" i="7"/>
  <c r="CD70" i="7"/>
  <c r="CD82" i="7"/>
  <c r="CH82" i="7"/>
  <c r="CE104" i="7"/>
  <c r="CI70" i="7"/>
  <c r="CI59" i="7"/>
  <c r="CE59" i="7"/>
  <c r="CE106" i="7"/>
  <c r="CI106" i="7"/>
  <c r="CE82" i="7"/>
  <c r="CI82" i="7"/>
  <c r="CE70" i="7"/>
  <c r="CE115" i="7" s="1"/>
  <c r="CE117" i="7" s="1"/>
  <c r="CE120" i="7" s="1"/>
  <c r="CF106" i="7"/>
  <c r="CJ106" i="7"/>
  <c r="CF107" i="7"/>
  <c r="CJ107" i="7"/>
  <c r="CF82" i="7"/>
  <c r="CJ82" i="7"/>
  <c r="CF70" i="7"/>
  <c r="CJ70" i="7"/>
  <c r="CF59" i="7"/>
  <c r="CJ59" i="7"/>
  <c r="BU106" i="7"/>
  <c r="BU113" i="7"/>
  <c r="BU59" i="7"/>
  <c r="BY59" i="7"/>
  <c r="BU70" i="7"/>
  <c r="BY70" i="7"/>
  <c r="BU82" i="7"/>
  <c r="BY82" i="7"/>
  <c r="BX142" i="7"/>
  <c r="BX141" i="7"/>
  <c r="BW142" i="7"/>
  <c r="BW141" i="7"/>
  <c r="BX125" i="7"/>
  <c r="BT125" i="7"/>
  <c r="BX59" i="7"/>
  <c r="CG117" i="7" l="1"/>
  <c r="CA117" i="7"/>
  <c r="CA120" i="7" s="1"/>
  <c r="CA122" i="7" s="1"/>
  <c r="CA124" i="7" s="1"/>
  <c r="CA126" i="7" s="1"/>
  <c r="CA127" i="7" s="1"/>
  <c r="CE139" i="7"/>
  <c r="CI115" i="7"/>
  <c r="BY115" i="7"/>
  <c r="BY117" i="7" s="1"/>
  <c r="BY120" i="7" s="1"/>
  <c r="BY122" i="7" s="1"/>
  <c r="BY124" i="7" s="1"/>
  <c r="BX115" i="7"/>
  <c r="BX131" i="7" s="1"/>
  <c r="CD139" i="7"/>
  <c r="BZ117" i="7"/>
  <c r="BZ130" i="7" s="1"/>
  <c r="BZ131" i="7"/>
  <c r="CA130" i="7"/>
  <c r="CA133" i="7"/>
  <c r="CA134" i="7"/>
  <c r="CA135" i="7"/>
  <c r="CB120" i="7"/>
  <c r="CB130" i="7"/>
  <c r="CB131" i="7"/>
  <c r="CB132" i="7"/>
  <c r="CE124" i="7"/>
  <c r="CE126" i="7" s="1"/>
  <c r="CE122" i="7"/>
  <c r="CD131" i="7"/>
  <c r="CD132" i="7"/>
  <c r="CD117" i="7"/>
  <c r="CD120" i="7" s="1"/>
  <c r="CD133" i="7" s="1"/>
  <c r="CC115" i="7"/>
  <c r="CG139" i="7" s="1"/>
  <c r="CF115" i="7"/>
  <c r="CG120" i="7"/>
  <c r="CG122" i="7" s="1"/>
  <c r="CH115" i="7"/>
  <c r="CG130" i="7"/>
  <c r="CG132" i="7"/>
  <c r="CG131" i="7"/>
  <c r="CI131" i="7"/>
  <c r="CI117" i="7"/>
  <c r="BW125" i="7"/>
  <c r="BW59" i="7"/>
  <c r="BW115" i="7" s="1"/>
  <c r="DH168" i="7"/>
  <c r="DH160" i="7"/>
  <c r="DH173" i="7" s="1"/>
  <c r="DH157" i="7"/>
  <c r="DH156" i="7"/>
  <c r="DH150" i="7"/>
  <c r="DH153" i="7"/>
  <c r="DD103" i="7"/>
  <c r="EY45" i="7"/>
  <c r="EY44" i="7"/>
  <c r="DC104" i="7"/>
  <c r="DG104" i="7"/>
  <c r="DH104" i="7"/>
  <c r="DH115" i="7" s="1"/>
  <c r="DG115" i="7"/>
  <c r="EV128" i="7"/>
  <c r="EV121" i="7"/>
  <c r="EV119" i="7"/>
  <c r="EV118" i="7"/>
  <c r="EV116" i="7"/>
  <c r="EW128" i="7"/>
  <c r="EW119" i="7"/>
  <c r="EW118" i="7"/>
  <c r="EW116" i="7"/>
  <c r="EX128" i="7"/>
  <c r="EY121" i="7"/>
  <c r="EZ121" i="7" s="1"/>
  <c r="FB121" i="7" s="1"/>
  <c r="FC121" i="7" s="1"/>
  <c r="FD121" i="7" s="1"/>
  <c r="FE121" i="7" s="1"/>
  <c r="FF121" i="7" s="1"/>
  <c r="EX119" i="7"/>
  <c r="EX118" i="7"/>
  <c r="EX116" i="7"/>
  <c r="DC118" i="7"/>
  <c r="DC141" i="7" s="1"/>
  <c r="DD118" i="7"/>
  <c r="DD141" i="7" s="1"/>
  <c r="DE118" i="7"/>
  <c r="DE141" i="7" s="1"/>
  <c r="DC119" i="7"/>
  <c r="DD119" i="7"/>
  <c r="DE119" i="7"/>
  <c r="DB125" i="7"/>
  <c r="ER143" i="7"/>
  <c r="ES143" i="7"/>
  <c r="EU114" i="7"/>
  <c r="EU113" i="7"/>
  <c r="EU112" i="7"/>
  <c r="EU111" i="7"/>
  <c r="EU110" i="7"/>
  <c r="EU109" i="7"/>
  <c r="EU108" i="7"/>
  <c r="EU107" i="7"/>
  <c r="EU105" i="7"/>
  <c r="EU104" i="7"/>
  <c r="EU103" i="7"/>
  <c r="EU102" i="7"/>
  <c r="EU101" i="7"/>
  <c r="EU100" i="7"/>
  <c r="EU99" i="7"/>
  <c r="EU98" i="7"/>
  <c r="EU97" i="7"/>
  <c r="EU96" i="7"/>
  <c r="EU95" i="7"/>
  <c r="EU94" i="7"/>
  <c r="EU93" i="7"/>
  <c r="EU92" i="7"/>
  <c r="EU91"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07" i="7"/>
  <c r="EV105" i="7"/>
  <c r="EV104" i="7"/>
  <c r="EV103" i="7"/>
  <c r="EV102" i="7"/>
  <c r="EV101" i="7"/>
  <c r="EV100" i="7"/>
  <c r="EV99" i="7"/>
  <c r="EV98" i="7"/>
  <c r="EV97" i="7"/>
  <c r="EV96" i="7"/>
  <c r="EV95" i="7"/>
  <c r="EV94" i="7"/>
  <c r="EV93" i="7"/>
  <c r="EV92" i="7"/>
  <c r="EV91"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5" i="7"/>
  <c r="CO125" i="7"/>
  <c r="CS144" i="7"/>
  <c r="CR144" i="7"/>
  <c r="CQ144" i="7"/>
  <c r="CP144" i="7"/>
  <c r="CO144" i="7"/>
  <c r="CS143" i="7"/>
  <c r="CR143" i="7"/>
  <c r="CQ143" i="7"/>
  <c r="CP143" i="7"/>
  <c r="CO143" i="7"/>
  <c r="CS142" i="7"/>
  <c r="CR142" i="7"/>
  <c r="CQ142" i="7"/>
  <c r="CP142" i="7"/>
  <c r="CO142" i="7"/>
  <c r="CS141" i="7"/>
  <c r="CR141" i="7"/>
  <c r="CQ141" i="7"/>
  <c r="CP141" i="7"/>
  <c r="CO141" i="7"/>
  <c r="CK106" i="7"/>
  <c r="CK115" i="7" s="1"/>
  <c r="CO106" i="7"/>
  <c r="CO115" i="7" s="1"/>
  <c r="CO132" i="7" s="1"/>
  <c r="CT144" i="7"/>
  <c r="CT143" i="7"/>
  <c r="CT142" i="7"/>
  <c r="CT141" i="7"/>
  <c r="CP125" i="7"/>
  <c r="CL106" i="7"/>
  <c r="CL115" i="7" s="1"/>
  <c r="CM106" i="7"/>
  <c r="CM115" i="7" s="1"/>
  <c r="CM139" i="7" s="1"/>
  <c r="CP106" i="7"/>
  <c r="CP115" i="7" s="1"/>
  <c r="CM125" i="7"/>
  <c r="CU144" i="7"/>
  <c r="CU143" i="7"/>
  <c r="CU142" i="7"/>
  <c r="CU141" i="7"/>
  <c r="CQ125" i="7"/>
  <c r="CQ106" i="7"/>
  <c r="CQ115" i="7" s="1"/>
  <c r="CQ117" i="7" s="1"/>
  <c r="CQ120" i="7" s="1"/>
  <c r="CQ124" i="7" s="1"/>
  <c r="CN125" i="7"/>
  <c r="CR125" i="7"/>
  <c r="CV144" i="7"/>
  <c r="CV143" i="7"/>
  <c r="CV142" i="7"/>
  <c r="CV141" i="7"/>
  <c r="CZ144" i="7"/>
  <c r="CY144" i="7"/>
  <c r="CX144" i="7"/>
  <c r="CW144" i="7"/>
  <c r="DA144" i="7"/>
  <c r="CZ143" i="7"/>
  <c r="CY143" i="7"/>
  <c r="CX143" i="7"/>
  <c r="CW143" i="7"/>
  <c r="DA143" i="7"/>
  <c r="CZ142" i="7"/>
  <c r="CY142" i="7"/>
  <c r="CX142" i="7"/>
  <c r="CW142" i="7"/>
  <c r="DA142" i="7"/>
  <c r="DA125" i="7"/>
  <c r="CW125" i="7"/>
  <c r="EW125" i="7" s="1"/>
  <c r="CW141" i="7"/>
  <c r="CX141" i="7"/>
  <c r="CY141" i="7"/>
  <c r="CZ141" i="7"/>
  <c r="DA141" i="7"/>
  <c r="DB141" i="7"/>
  <c r="CY188" i="7"/>
  <c r="CZ188" i="7" s="1"/>
  <c r="DA188" i="7" s="1"/>
  <c r="CZ189" i="7"/>
  <c r="DA189" i="7" s="1"/>
  <c r="CZ187" i="7"/>
  <c r="DA187" i="7" s="1"/>
  <c r="CZ196" i="7"/>
  <c r="DA196" i="7" s="1"/>
  <c r="CZ195" i="7"/>
  <c r="DA195" i="7" s="1"/>
  <c r="CY193" i="7"/>
  <c r="CY197" i="7" s="1"/>
  <c r="CZ193" i="7"/>
  <c r="CZ194" i="7"/>
  <c r="DA194" i="7" s="1"/>
  <c r="CY185" i="7"/>
  <c r="CY201" i="7" s="1"/>
  <c r="CZ184" i="7"/>
  <c r="CZ182" i="7"/>
  <c r="DA182" i="7" s="1"/>
  <c r="CZ181" i="7"/>
  <c r="DA181" i="7" s="1"/>
  <c r="CZ180" i="7"/>
  <c r="DA180" i="7" s="1"/>
  <c r="CZ179" i="7"/>
  <c r="DA179" i="7" s="1"/>
  <c r="CZ178" i="7"/>
  <c r="DA178" i="7" s="1"/>
  <c r="CZ177" i="7"/>
  <c r="DA177" i="7" s="1"/>
  <c r="CZ176" i="7"/>
  <c r="DA176" i="7" s="1"/>
  <c r="DA167" i="7"/>
  <c r="DA160" i="7"/>
  <c r="DA156" i="7"/>
  <c r="DA150" i="7"/>
  <c r="DA153" i="7"/>
  <c r="CZ167" i="7"/>
  <c r="CZ160" i="7"/>
  <c r="CZ156" i="7"/>
  <c r="CZ153" i="7"/>
  <c r="CZ150" i="7"/>
  <c r="DC128" i="7"/>
  <c r="DD128" i="7" s="1"/>
  <c r="DG128" i="7" s="1"/>
  <c r="DC106" i="7"/>
  <c r="CX115" i="7"/>
  <c r="CU121" i="7"/>
  <c r="CY121" i="7"/>
  <c r="CH117" i="7" l="1"/>
  <c r="CH139" i="7"/>
  <c r="CB139" i="7"/>
  <c r="BY126" i="7"/>
  <c r="BY127" i="7" s="1"/>
  <c r="BY134" i="7"/>
  <c r="BX132" i="7"/>
  <c r="CI132" i="7"/>
  <c r="CI139" i="7"/>
  <c r="DH128" i="7"/>
  <c r="DH127" i="7" s="1"/>
  <c r="DG127" i="7"/>
  <c r="BX117" i="7"/>
  <c r="DH158" i="7"/>
  <c r="CF132" i="7"/>
  <c r="CF139" i="7"/>
  <c r="CL131" i="7"/>
  <c r="CL139" i="7"/>
  <c r="CK117" i="7"/>
  <c r="CK120" i="7" s="1"/>
  <c r="CK124" i="7" s="1"/>
  <c r="CK139" i="7"/>
  <c r="BZ120" i="7"/>
  <c r="BZ133" i="7" s="1"/>
  <c r="BW131" i="7"/>
  <c r="CA139" i="7"/>
  <c r="BY133" i="7"/>
  <c r="CC139" i="7"/>
  <c r="BY131" i="7"/>
  <c r="BY132" i="7"/>
  <c r="BY130" i="7"/>
  <c r="CD122" i="7"/>
  <c r="CD124" i="7" s="1"/>
  <c r="CD130" i="7"/>
  <c r="CC117" i="7"/>
  <c r="CC132" i="7"/>
  <c r="CC131" i="7"/>
  <c r="CH132" i="7"/>
  <c r="CH131" i="7"/>
  <c r="CB122" i="7"/>
  <c r="CB124" i="7" s="1"/>
  <c r="CB133" i="7"/>
  <c r="DH149" i="7"/>
  <c r="CF131" i="7"/>
  <c r="CF117" i="7"/>
  <c r="CF120" i="7" s="1"/>
  <c r="BW132" i="7"/>
  <c r="BW117" i="7"/>
  <c r="BX120" i="7"/>
  <c r="BX130" i="7"/>
  <c r="CG124" i="7"/>
  <c r="CG133" i="7"/>
  <c r="CI130" i="7"/>
  <c r="CI120" i="7"/>
  <c r="EW141" i="7"/>
  <c r="EX125" i="7"/>
  <c r="EY128" i="7"/>
  <c r="EZ128" i="7" s="1"/>
  <c r="FB128" i="7" s="1"/>
  <c r="FC128" i="7" s="1"/>
  <c r="EY119" i="7"/>
  <c r="EZ119" i="7" s="1"/>
  <c r="EY118" i="7"/>
  <c r="EZ118" i="7" s="1"/>
  <c r="EV125" i="7"/>
  <c r="EX141" i="7"/>
  <c r="EY14" i="7"/>
  <c r="EY33" i="7"/>
  <c r="EY31" i="7"/>
  <c r="FB31" i="7" s="1"/>
  <c r="FC31" i="7" s="1"/>
  <c r="FD31" i="7" s="1"/>
  <c r="FE31" i="7" s="1"/>
  <c r="FF31" i="7" s="1"/>
  <c r="FG31" i="7" s="1"/>
  <c r="FH31" i="7" s="1"/>
  <c r="FI31" i="7" s="1"/>
  <c r="FJ31" i="7" s="1"/>
  <c r="FK31" i="7" s="1"/>
  <c r="EV144" i="7"/>
  <c r="EY32" i="7"/>
  <c r="FB32" i="7" s="1"/>
  <c r="FC32" i="7" s="1"/>
  <c r="FD32" i="7" s="1"/>
  <c r="FE32" i="7" s="1"/>
  <c r="FF32" i="7" s="1"/>
  <c r="FG32" i="7" s="1"/>
  <c r="FH32" i="7" s="1"/>
  <c r="FI32" i="7" s="1"/>
  <c r="FJ32" i="7" s="1"/>
  <c r="FK32" i="7" s="1"/>
  <c r="EV143" i="7"/>
  <c r="EY25" i="7"/>
  <c r="EV142" i="7"/>
  <c r="EY28" i="7"/>
  <c r="FB28" i="7" s="1"/>
  <c r="FC28" i="7" s="1"/>
  <c r="FD28" i="7" s="1"/>
  <c r="FE28" i="7" s="1"/>
  <c r="FF28" i="7" s="1"/>
  <c r="FG28" i="7" s="1"/>
  <c r="FH28" i="7" s="1"/>
  <c r="FI28" i="7" s="1"/>
  <c r="FJ28" i="7" s="1"/>
  <c r="FK28" i="7" s="1"/>
  <c r="EY34" i="7"/>
  <c r="EY30" i="7"/>
  <c r="FB30" i="7" s="1"/>
  <c r="FC30" i="7" s="1"/>
  <c r="FD30" i="7" s="1"/>
  <c r="FE30" i="7" s="1"/>
  <c r="FF30" i="7" s="1"/>
  <c r="FG30" i="7" s="1"/>
  <c r="FH30" i="7" s="1"/>
  <c r="FI30" i="7" s="1"/>
  <c r="FJ30" i="7" s="1"/>
  <c r="FK30" i="7" s="1"/>
  <c r="EY105" i="7"/>
  <c r="FB105" i="7" s="1"/>
  <c r="FC105" i="7" s="1"/>
  <c r="FD105" i="7" s="1"/>
  <c r="FE105" i="7" s="1"/>
  <c r="FF105" i="7" s="1"/>
  <c r="FG105" i="7" s="1"/>
  <c r="FH105" i="7" s="1"/>
  <c r="FI105" i="7" s="1"/>
  <c r="FJ105" i="7" s="1"/>
  <c r="FK105" i="7" s="1"/>
  <c r="EY35" i="7"/>
  <c r="FB35" i="7" s="1"/>
  <c r="FC35" i="7" s="1"/>
  <c r="FD35" i="7" s="1"/>
  <c r="FE35" i="7" s="1"/>
  <c r="FF35" i="7" s="1"/>
  <c r="FG35" i="7" s="1"/>
  <c r="FH35" i="7" s="1"/>
  <c r="FI35" i="7" s="1"/>
  <c r="FJ35" i="7" s="1"/>
  <c r="FK35" i="7" s="1"/>
  <c r="EY56" i="7"/>
  <c r="EY107" i="7"/>
  <c r="FB107" i="7" s="1"/>
  <c r="FC107" i="7" s="1"/>
  <c r="FD107" i="7" s="1"/>
  <c r="FE107" i="7" s="1"/>
  <c r="FF107" i="7" s="1"/>
  <c r="FG107" i="7" s="1"/>
  <c r="FH107" i="7" s="1"/>
  <c r="FI107" i="7" s="1"/>
  <c r="FJ107" i="7" s="1"/>
  <c r="FK107" i="7" s="1"/>
  <c r="EY27" i="7"/>
  <c r="CP139" i="7"/>
  <c r="EY106" i="7"/>
  <c r="FB106" i="7" s="1"/>
  <c r="FC106" i="7" s="1"/>
  <c r="FD106" i="7" s="1"/>
  <c r="FE106" i="7" s="1"/>
  <c r="FF106" i="7" s="1"/>
  <c r="FG106" i="7" s="1"/>
  <c r="FH106" i="7" s="1"/>
  <c r="FI106" i="7" s="1"/>
  <c r="FJ106" i="7" s="1"/>
  <c r="FK106" i="7" s="1"/>
  <c r="DA149" i="7"/>
  <c r="EX3" i="7"/>
  <c r="EY29" i="7"/>
  <c r="FB29" i="7" s="1"/>
  <c r="FC29" i="7" s="1"/>
  <c r="FD29" i="7" s="1"/>
  <c r="FE29" i="7" s="1"/>
  <c r="FF29" i="7" s="1"/>
  <c r="FG29" i="7" s="1"/>
  <c r="FH29" i="7" s="1"/>
  <c r="FI29" i="7" s="1"/>
  <c r="FJ29" i="7" s="1"/>
  <c r="FK29" i="7" s="1"/>
  <c r="CY191" i="7"/>
  <c r="CY199" i="7" s="1"/>
  <c r="EY40" i="7"/>
  <c r="EY36" i="7"/>
  <c r="EY37" i="7"/>
  <c r="EY38" i="7"/>
  <c r="FB38" i="7" s="1"/>
  <c r="FC38" i="7" s="1"/>
  <c r="FD38" i="7" s="1"/>
  <c r="FE38" i="7" s="1"/>
  <c r="FF38" i="7" s="1"/>
  <c r="FG38" i="7" s="1"/>
  <c r="FH38" i="7" s="1"/>
  <c r="FI38" i="7" s="1"/>
  <c r="FJ38" i="7" s="1"/>
  <c r="FK38" i="7" s="1"/>
  <c r="EY43" i="7"/>
  <c r="CO117" i="7"/>
  <c r="EY46" i="7"/>
  <c r="CK131" i="7"/>
  <c r="EY47" i="7"/>
  <c r="CK132" i="7"/>
  <c r="CO139" i="7"/>
  <c r="EY48" i="7"/>
  <c r="EY49" i="7"/>
  <c r="FB49" i="7" s="1"/>
  <c r="FC49" i="7" s="1"/>
  <c r="FD49" i="7" s="1"/>
  <c r="FE49" i="7" s="1"/>
  <c r="FF49" i="7" s="1"/>
  <c r="FG49" i="7" s="1"/>
  <c r="FH49" i="7" s="1"/>
  <c r="FI49" i="7" s="1"/>
  <c r="FJ49" i="7" s="1"/>
  <c r="FK49" i="7" s="1"/>
  <c r="EY42" i="7"/>
  <c r="CO131" i="7"/>
  <c r="CQ139" i="7"/>
  <c r="EY50" i="7"/>
  <c r="FB50" i="7" s="1"/>
  <c r="FC50" i="7" s="1"/>
  <c r="FD50" i="7" s="1"/>
  <c r="FE50" i="7" s="1"/>
  <c r="FF50" i="7" s="1"/>
  <c r="FG50" i="7" s="1"/>
  <c r="FH50" i="7" s="1"/>
  <c r="FI50" i="7" s="1"/>
  <c r="FJ50" i="7" s="1"/>
  <c r="FK50" i="7" s="1"/>
  <c r="EY103" i="7"/>
  <c r="FB103" i="7" s="1"/>
  <c r="FC103" i="7" s="1"/>
  <c r="FD103" i="7" s="1"/>
  <c r="FE103" i="7" s="1"/>
  <c r="FF103" i="7" s="1"/>
  <c r="FG103" i="7" s="1"/>
  <c r="FH103" i="7" s="1"/>
  <c r="FI103" i="7" s="1"/>
  <c r="FJ103" i="7" s="1"/>
  <c r="FK103" i="7" s="1"/>
  <c r="EY41" i="7"/>
  <c r="EY55" i="7"/>
  <c r="EY104" i="7"/>
  <c r="FB104" i="7" s="1"/>
  <c r="FC104" i="7" s="1"/>
  <c r="FD104" i="7" s="1"/>
  <c r="FE104" i="7" s="1"/>
  <c r="FF104" i="7" s="1"/>
  <c r="FG104" i="7" s="1"/>
  <c r="FH104" i="7" s="1"/>
  <c r="FI104" i="7" s="1"/>
  <c r="FJ104" i="7" s="1"/>
  <c r="FK104" i="7" s="1"/>
  <c r="DA190" i="7"/>
  <c r="DA191" i="7" s="1"/>
  <c r="CQ130" i="7"/>
  <c r="CQ134" i="7"/>
  <c r="CM131" i="7"/>
  <c r="CM117" i="7"/>
  <c r="CM130" i="7" s="1"/>
  <c r="CM132" i="7"/>
  <c r="CL117" i="7"/>
  <c r="CL120" i="7" s="1"/>
  <c r="CL124" i="7" s="1"/>
  <c r="CP117" i="7"/>
  <c r="CP131" i="7"/>
  <c r="CP132" i="7"/>
  <c r="CL132" i="7"/>
  <c r="CQ126" i="7"/>
  <c r="CQ133" i="7"/>
  <c r="CQ131" i="7"/>
  <c r="CQ132" i="7"/>
  <c r="DF141" i="7"/>
  <c r="CZ191" i="7"/>
  <c r="CZ197" i="7"/>
  <c r="DA193" i="7"/>
  <c r="DA197" i="7" s="1"/>
  <c r="CZ185" i="7"/>
  <c r="DA184" i="7"/>
  <c r="DA185" i="7" s="1"/>
  <c r="DA201" i="7" s="1"/>
  <c r="DA171" i="7"/>
  <c r="DA173" i="7" s="1"/>
  <c r="CZ171" i="7"/>
  <c r="CZ173" i="7" s="1"/>
  <c r="DA158" i="7"/>
  <c r="CZ158" i="7"/>
  <c r="CZ149" i="7"/>
  <c r="CV121" i="7"/>
  <c r="EW121" i="7" s="1"/>
  <c r="CZ121" i="7"/>
  <c r="EX121" i="7" s="1"/>
  <c r="CK133" i="7" l="1"/>
  <c r="CK130" i="7"/>
  <c r="BZ122" i="7"/>
  <c r="BZ124" i="7" s="1"/>
  <c r="BZ126" i="7" s="1"/>
  <c r="CF130" i="7"/>
  <c r="BY135" i="7"/>
  <c r="CH120" i="7"/>
  <c r="CH130" i="7"/>
  <c r="BZ134" i="7"/>
  <c r="BZ135" i="7"/>
  <c r="BZ127" i="7"/>
  <c r="CC120" i="7"/>
  <c r="CC130" i="7"/>
  <c r="CB126" i="7"/>
  <c r="CB134" i="7"/>
  <c r="CD134" i="7"/>
  <c r="CD126" i="7"/>
  <c r="EY141" i="7"/>
  <c r="BW130" i="7"/>
  <c r="BW120" i="7"/>
  <c r="BX124" i="7"/>
  <c r="BX133" i="7"/>
  <c r="CF122" i="7"/>
  <c r="CF124" i="7"/>
  <c r="CF133" i="7"/>
  <c r="CG126" i="7"/>
  <c r="CG134" i="7"/>
  <c r="CI133" i="7"/>
  <c r="CI124" i="7"/>
  <c r="EZ141" i="7"/>
  <c r="FB14" i="7"/>
  <c r="FC14" i="7" s="1"/>
  <c r="FD14" i="7" s="1"/>
  <c r="FE14" i="7" s="1"/>
  <c r="FF14" i="7" s="1"/>
  <c r="FD128" i="7"/>
  <c r="EY39" i="7"/>
  <c r="CL133" i="7"/>
  <c r="EY3" i="7"/>
  <c r="FB3" i="7" s="1"/>
  <c r="FC3" i="7" s="1"/>
  <c r="FD3" i="7" s="1"/>
  <c r="FE3" i="7" s="1"/>
  <c r="FF3" i="7" s="1"/>
  <c r="CO130" i="7"/>
  <c r="CO120" i="7"/>
  <c r="CM120" i="7"/>
  <c r="CL130" i="7"/>
  <c r="CK126" i="7"/>
  <c r="CK134" i="7"/>
  <c r="CQ127" i="7"/>
  <c r="CQ135" i="7"/>
  <c r="CL126" i="7"/>
  <c r="CL134" i="7"/>
  <c r="CP120" i="7"/>
  <c r="CP130" i="7"/>
  <c r="CZ199" i="7"/>
  <c r="CZ201" i="7"/>
  <c r="DA199" i="7"/>
  <c r="CN106" i="7"/>
  <c r="CR106" i="7"/>
  <c r="FA2" i="7"/>
  <c r="FB2" i="7" s="1"/>
  <c r="FC2" i="7" s="1"/>
  <c r="FD2" i="7" s="1"/>
  <c r="FE2" i="7" s="1"/>
  <c r="FF2" i="7" s="1"/>
  <c r="FG2" i="7" s="1"/>
  <c r="FH2" i="7" s="1"/>
  <c r="FI2" i="7" s="1"/>
  <c r="FJ2" i="7" s="1"/>
  <c r="FK2" i="7" s="1"/>
  <c r="CZ115" i="7"/>
  <c r="CZ132" i="7" s="1"/>
  <c r="DD144" i="7"/>
  <c r="DD142" i="7"/>
  <c r="DD143" i="7"/>
  <c r="DE143" i="7"/>
  <c r="DB142" i="7"/>
  <c r="DE142" i="7"/>
  <c r="EX6" i="7"/>
  <c r="EX107" i="7"/>
  <c r="EX106" i="7"/>
  <c r="EX105" i="7"/>
  <c r="EX104" i="7"/>
  <c r="EX103" i="7"/>
  <c r="EX102" i="7"/>
  <c r="EX101" i="7"/>
  <c r="EX100" i="7"/>
  <c r="EX99" i="7"/>
  <c r="EX98" i="7"/>
  <c r="EX97" i="7"/>
  <c r="EX96" i="7"/>
  <c r="EX95" i="7"/>
  <c r="EX94" i="7"/>
  <c r="EX93" i="7"/>
  <c r="EX92" i="7"/>
  <c r="EX91" i="7"/>
  <c r="EX89" i="7"/>
  <c r="EX88" i="7"/>
  <c r="EX87" i="7"/>
  <c r="EX86" i="7"/>
  <c r="EX85" i="7"/>
  <c r="EX84" i="7"/>
  <c r="EX83" i="7"/>
  <c r="EX82" i="7"/>
  <c r="EX81" i="7"/>
  <c r="EX80" i="7"/>
  <c r="EX79" i="7"/>
  <c r="EX78" i="7"/>
  <c r="EX77" i="7"/>
  <c r="EX76" i="7"/>
  <c r="EX75" i="7"/>
  <c r="EX74" i="7"/>
  <c r="EX73" i="7"/>
  <c r="EX71" i="7"/>
  <c r="EX70" i="7"/>
  <c r="EX69" i="7"/>
  <c r="EX68" i="7"/>
  <c r="EX67" i="7"/>
  <c r="EX66" i="7"/>
  <c r="EX65" i="7"/>
  <c r="EX64" i="7"/>
  <c r="EX63" i="7"/>
  <c r="EX62" i="7"/>
  <c r="EX61" i="7"/>
  <c r="EX60" i="7"/>
  <c r="EX59" i="7"/>
  <c r="EX58" i="7"/>
  <c r="EX57" i="7"/>
  <c r="EX56" i="7"/>
  <c r="EX55" i="7"/>
  <c r="EX50" i="7"/>
  <c r="EX49" i="7"/>
  <c r="EX48" i="7"/>
  <c r="EX47" i="7"/>
  <c r="EX46" i="7"/>
  <c r="EX43" i="7"/>
  <c r="EX42" i="7"/>
  <c r="EX41" i="7"/>
  <c r="EX40" i="7"/>
  <c r="EW107" i="7"/>
  <c r="EW106" i="7"/>
  <c r="EW105" i="7"/>
  <c r="EW104" i="7"/>
  <c r="EW103" i="7"/>
  <c r="EW102" i="7"/>
  <c r="EW101" i="7"/>
  <c r="EW100" i="7"/>
  <c r="EW99" i="7"/>
  <c r="EW98" i="7"/>
  <c r="EW97" i="7"/>
  <c r="EW96" i="7"/>
  <c r="EW95" i="7"/>
  <c r="EW94" i="7"/>
  <c r="EW93" i="7"/>
  <c r="EW92" i="7"/>
  <c r="EW91" i="7"/>
  <c r="EW89" i="7"/>
  <c r="EW88" i="7"/>
  <c r="EW87" i="7"/>
  <c r="EW86" i="7"/>
  <c r="EW85" i="7"/>
  <c r="EW84" i="7"/>
  <c r="EW83" i="7"/>
  <c r="EW82" i="7"/>
  <c r="EW81" i="7"/>
  <c r="EW80" i="7"/>
  <c r="EW79" i="7"/>
  <c r="EW78" i="7"/>
  <c r="EW77" i="7"/>
  <c r="EW76" i="7"/>
  <c r="EW75" i="7"/>
  <c r="EW74" i="7"/>
  <c r="EW73" i="7"/>
  <c r="EW71" i="7"/>
  <c r="EW70" i="7"/>
  <c r="EW69" i="7"/>
  <c r="EW68" i="7"/>
  <c r="EW67" i="7"/>
  <c r="EW66" i="7"/>
  <c r="EW65" i="7"/>
  <c r="EW64" i="7"/>
  <c r="EW63" i="7"/>
  <c r="EW62" i="7"/>
  <c r="EW61" i="7"/>
  <c r="EW60" i="7"/>
  <c r="EW59" i="7"/>
  <c r="EW58" i="7"/>
  <c r="EW57" i="7"/>
  <c r="EW56" i="7"/>
  <c r="EW55"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4" i="7" s="1"/>
  <c r="EW6" i="7"/>
  <c r="EW5" i="7"/>
  <c r="EW142" i="7" s="1"/>
  <c r="EW4" i="7"/>
  <c r="EW143" i="7" s="1"/>
  <c r="EW3" i="7"/>
  <c r="EX38" i="7"/>
  <c r="EX37" i="7"/>
  <c r="EX36" i="7"/>
  <c r="EX35" i="7"/>
  <c r="EX34" i="7"/>
  <c r="EX33" i="7"/>
  <c r="EX32" i="7"/>
  <c r="EX31" i="7"/>
  <c r="EX30" i="7"/>
  <c r="EX29" i="7"/>
  <c r="EX28" i="7"/>
  <c r="EX27" i="7"/>
  <c r="EX25" i="7"/>
  <c r="CS115" i="7"/>
  <c r="CT115" i="7"/>
  <c r="CY167" i="7"/>
  <c r="CY160" i="7"/>
  <c r="CY153" i="7"/>
  <c r="CY156" i="7"/>
  <c r="CY150" i="7"/>
  <c r="CY115" i="7"/>
  <c r="CY117" i="7" s="1"/>
  <c r="CX117" i="7"/>
  <c r="CV115" i="7"/>
  <c r="CU115" i="7"/>
  <c r="BC59" i="7"/>
  <c r="BD59" i="7"/>
  <c r="BE59" i="7"/>
  <c r="BF59" i="7"/>
  <c r="BG59" i="7"/>
  <c r="BH59" i="7"/>
  <c r="BI59" i="7"/>
  <c r="BJ59" i="7"/>
  <c r="BK59" i="7"/>
  <c r="BL59" i="7"/>
  <c r="BM59" i="7"/>
  <c r="BN59" i="7"/>
  <c r="BO59" i="7"/>
  <c r="BP59" i="7"/>
  <c r="BQ59" i="7"/>
  <c r="BR59" i="7"/>
  <c r="BS59" i="7"/>
  <c r="BT59" i="7"/>
  <c r="EK59" i="7"/>
  <c r="CH122" i="7" l="1"/>
  <c r="CH124" i="7"/>
  <c r="CH133" i="7"/>
  <c r="CD135" i="7"/>
  <c r="CD127" i="7"/>
  <c r="CB135" i="7"/>
  <c r="CB127" i="7"/>
  <c r="CC122" i="7"/>
  <c r="CC124" i="7" s="1"/>
  <c r="CC133" i="7"/>
  <c r="BW124" i="7"/>
  <c r="BW133" i="7"/>
  <c r="BX134" i="7"/>
  <c r="BX126" i="7"/>
  <c r="CF126" i="7"/>
  <c r="CF134" i="7"/>
  <c r="CG127" i="7"/>
  <c r="CG135" i="7"/>
  <c r="CI134" i="7"/>
  <c r="CI126" i="7"/>
  <c r="FB118" i="7"/>
  <c r="FA141" i="7"/>
  <c r="FE128" i="7"/>
  <c r="DC115" i="7"/>
  <c r="DG139" i="7" s="1"/>
  <c r="EY10" i="7"/>
  <c r="FB10" i="7" s="1"/>
  <c r="FC10" i="7" s="1"/>
  <c r="FD10" i="7" s="1"/>
  <c r="FE10" i="7" s="1"/>
  <c r="FF10" i="7" s="1"/>
  <c r="FG10" i="7" s="1"/>
  <c r="FH10" i="7" s="1"/>
  <c r="FI10" i="7" s="1"/>
  <c r="FJ10" i="7" s="1"/>
  <c r="FK10" i="7" s="1"/>
  <c r="EY9" i="7"/>
  <c r="FB9" i="7" s="1"/>
  <c r="FC9" i="7" s="1"/>
  <c r="FD9" i="7" s="1"/>
  <c r="FE9" i="7" s="1"/>
  <c r="FF9" i="7" s="1"/>
  <c r="FG9" i="7" s="1"/>
  <c r="FH9" i="7" s="1"/>
  <c r="FI9" i="7" s="1"/>
  <c r="FJ9" i="7" s="1"/>
  <c r="FK9" i="7" s="1"/>
  <c r="EY11" i="7"/>
  <c r="FB11" i="7" s="1"/>
  <c r="FC11" i="7" s="1"/>
  <c r="FD11" i="7" s="1"/>
  <c r="FE11" i="7" s="1"/>
  <c r="FF11" i="7" s="1"/>
  <c r="FG11" i="7" s="1"/>
  <c r="FH11" i="7" s="1"/>
  <c r="FI11" i="7" s="1"/>
  <c r="FJ11" i="7" s="1"/>
  <c r="FK11" i="7" s="1"/>
  <c r="EW115" i="7"/>
  <c r="EW136" i="7" s="1"/>
  <c r="DF143" i="7"/>
  <c r="DB143" i="7"/>
  <c r="EY20" i="7"/>
  <c r="FB20" i="7" s="1"/>
  <c r="FC20" i="7" s="1"/>
  <c r="FD20" i="7" s="1"/>
  <c r="FE20" i="7" s="1"/>
  <c r="FF20" i="7" s="1"/>
  <c r="FG20" i="7" s="1"/>
  <c r="FH20" i="7" s="1"/>
  <c r="FI20" i="7" s="1"/>
  <c r="FJ20" i="7" s="1"/>
  <c r="FK20" i="7" s="1"/>
  <c r="EY16" i="7"/>
  <c r="FB16" i="7" s="1"/>
  <c r="FC16" i="7" s="1"/>
  <c r="FD16" i="7" s="1"/>
  <c r="FE16" i="7" s="1"/>
  <c r="FF16" i="7" s="1"/>
  <c r="FG16" i="7" s="1"/>
  <c r="FH16" i="7" s="1"/>
  <c r="FI16" i="7" s="1"/>
  <c r="FJ16" i="7" s="1"/>
  <c r="FK16" i="7" s="1"/>
  <c r="DF144" i="7"/>
  <c r="DB144" i="7"/>
  <c r="CR115" i="7"/>
  <c r="CR117" i="7" s="1"/>
  <c r="EV106" i="7"/>
  <c r="EV115" i="7" s="1"/>
  <c r="EV136" i="7" s="1"/>
  <c r="DC144" i="7"/>
  <c r="EY13" i="7"/>
  <c r="FB13" i="7" s="1"/>
  <c r="FC13" i="7" s="1"/>
  <c r="FD13" i="7" s="1"/>
  <c r="FE13" i="7" s="1"/>
  <c r="FF13" i="7" s="1"/>
  <c r="FG13" i="7" s="1"/>
  <c r="FH13" i="7" s="1"/>
  <c r="FI13" i="7" s="1"/>
  <c r="FJ13" i="7" s="1"/>
  <c r="FK13" i="7" s="1"/>
  <c r="CN115" i="7"/>
  <c r="EU106" i="7"/>
  <c r="EU115" i="7" s="1"/>
  <c r="EY4" i="7"/>
  <c r="DC143" i="7"/>
  <c r="EY19" i="7"/>
  <c r="CM133" i="7"/>
  <c r="CM124" i="7"/>
  <c r="EY23" i="7"/>
  <c r="FB23" i="7" s="1"/>
  <c r="FC23" i="7" s="1"/>
  <c r="FD23" i="7" s="1"/>
  <c r="FE23" i="7" s="1"/>
  <c r="FF23" i="7" s="1"/>
  <c r="FG23" i="7" s="1"/>
  <c r="FH23" i="7" s="1"/>
  <c r="FI23" i="7" s="1"/>
  <c r="FJ23" i="7" s="1"/>
  <c r="FK23" i="7" s="1"/>
  <c r="CS131" i="7"/>
  <c r="CS139" i="7"/>
  <c r="CO133" i="7"/>
  <c r="CO124" i="7"/>
  <c r="DC142" i="7"/>
  <c r="CK127" i="7"/>
  <c r="CK135" i="7"/>
  <c r="CT132" i="7"/>
  <c r="CT139" i="7"/>
  <c r="CY130" i="7"/>
  <c r="CY120" i="7"/>
  <c r="CU117" i="7"/>
  <c r="CU120" i="7" s="1"/>
  <c r="CU139" i="7"/>
  <c r="CL127" i="7"/>
  <c r="CL135" i="7"/>
  <c r="CP133" i="7"/>
  <c r="CP124" i="7"/>
  <c r="CX120" i="7"/>
  <c r="CX124" i="7" s="1"/>
  <c r="EX13" i="7"/>
  <c r="EX8" i="7"/>
  <c r="EX24" i="7"/>
  <c r="EX21" i="7"/>
  <c r="EX19" i="7"/>
  <c r="EX22" i="7"/>
  <c r="EX9" i="7"/>
  <c r="CS117" i="7"/>
  <c r="CS132" i="7"/>
  <c r="CX139" i="7"/>
  <c r="CY149" i="7"/>
  <c r="CY139" i="7"/>
  <c r="EY22" i="7"/>
  <c r="EX5" i="7"/>
  <c r="EX142" i="7" s="1"/>
  <c r="EX20" i="7"/>
  <c r="EY21" i="7"/>
  <c r="FB21" i="7" s="1"/>
  <c r="FC21" i="7" s="1"/>
  <c r="FD21" i="7" s="1"/>
  <c r="FE21" i="7" s="1"/>
  <c r="FF21" i="7" s="1"/>
  <c r="FG21" i="7" s="1"/>
  <c r="FH21" i="7" s="1"/>
  <c r="FI21" i="7" s="1"/>
  <c r="FJ21" i="7" s="1"/>
  <c r="FK21" i="7" s="1"/>
  <c r="EX7" i="7"/>
  <c r="EX144" i="7" s="1"/>
  <c r="EX23" i="7"/>
  <c r="DE144" i="7"/>
  <c r="DF142" i="7"/>
  <c r="EY24" i="7"/>
  <c r="EY8" i="7"/>
  <c r="FB8" i="7" s="1"/>
  <c r="FC8" i="7" s="1"/>
  <c r="FD8" i="7" s="1"/>
  <c r="FE8" i="7" s="1"/>
  <c r="FF8" i="7" s="1"/>
  <c r="FG8" i="7" s="1"/>
  <c r="FH8" i="7" s="1"/>
  <c r="FI8" i="7" s="1"/>
  <c r="FJ8" i="7" s="1"/>
  <c r="FK8" i="7" s="1"/>
  <c r="CV117" i="7"/>
  <c r="EY6" i="7"/>
  <c r="CZ139" i="7"/>
  <c r="CZ117" i="7"/>
  <c r="CZ131" i="7"/>
  <c r="EX16" i="7"/>
  <c r="EX4" i="7"/>
  <c r="DA115" i="7"/>
  <c r="EX11" i="7"/>
  <c r="EX10" i="7"/>
  <c r="DB115" i="7"/>
  <c r="DB117" i="7" s="1"/>
  <c r="CT117" i="7"/>
  <c r="CT131" i="7"/>
  <c r="EL59" i="7"/>
  <c r="FQ59" i="7" s="1"/>
  <c r="CY171" i="7"/>
  <c r="CY173" i="7" s="1"/>
  <c r="EM59" i="7"/>
  <c r="CY158" i="7"/>
  <c r="EO59" i="7"/>
  <c r="CV131" i="7"/>
  <c r="CU131" i="7"/>
  <c r="CY131" i="7"/>
  <c r="CU132" i="7"/>
  <c r="CV132" i="7"/>
  <c r="CX132" i="7"/>
  <c r="CX131" i="7"/>
  <c r="CY132" i="7"/>
  <c r="CX130" i="7"/>
  <c r="EN59" i="7"/>
  <c r="EP59" i="7"/>
  <c r="EQ59" i="7" s="1"/>
  <c r="BT106" i="7"/>
  <c r="BS106" i="7"/>
  <c r="BS121" i="7"/>
  <c r="BS115" i="7"/>
  <c r="BW139" i="7" s="1"/>
  <c r="BT28" i="7"/>
  <c r="CH134" i="7" l="1"/>
  <c r="CH126" i="7"/>
  <c r="CN117" i="7"/>
  <c r="CN130" i="7" s="1"/>
  <c r="CC126" i="7"/>
  <c r="CC134" i="7"/>
  <c r="BW134" i="7"/>
  <c r="BW126" i="7"/>
  <c r="BX135" i="7"/>
  <c r="BX127" i="7"/>
  <c r="CF135" i="7"/>
  <c r="CF127" i="7"/>
  <c r="CI135" i="7"/>
  <c r="CI127" i="7"/>
  <c r="FC118" i="7"/>
  <c r="FB141" i="7"/>
  <c r="FB6" i="7"/>
  <c r="FC6" i="7" s="1"/>
  <c r="FD6" i="7" s="1"/>
  <c r="FE6" i="7" s="1"/>
  <c r="FF6" i="7" s="1"/>
  <c r="FG6" i="7" s="1"/>
  <c r="FH6" i="7" s="1"/>
  <c r="FI6" i="7" s="1"/>
  <c r="FJ6" i="7" s="1"/>
  <c r="FK6" i="7" s="1"/>
  <c r="FF128" i="7"/>
  <c r="EW139" i="7"/>
  <c r="EV117" i="7"/>
  <c r="EV132" i="7"/>
  <c r="EV131" i="7"/>
  <c r="EW117" i="7"/>
  <c r="EW132" i="7"/>
  <c r="EW131" i="7"/>
  <c r="DC117" i="7"/>
  <c r="DC120" i="7" s="1"/>
  <c r="DC124" i="7" s="1"/>
  <c r="CN131" i="7"/>
  <c r="EY5" i="7"/>
  <c r="CN132" i="7"/>
  <c r="CR139" i="7"/>
  <c r="CM134" i="7"/>
  <c r="CM126" i="7"/>
  <c r="EY143" i="7"/>
  <c r="CR132" i="7"/>
  <c r="EX143" i="7"/>
  <c r="EX115" i="7"/>
  <c r="EX136" i="7" s="1"/>
  <c r="CO126" i="7"/>
  <c r="CO134" i="7"/>
  <c r="EY7" i="7"/>
  <c r="CR131" i="7"/>
  <c r="CV139" i="7"/>
  <c r="CU130" i="7"/>
  <c r="CX134" i="7"/>
  <c r="CX126" i="7"/>
  <c r="CX127" i="7" s="1"/>
  <c r="CX133" i="7"/>
  <c r="CP126" i="7"/>
  <c r="CP134" i="7"/>
  <c r="CT120" i="7"/>
  <c r="CT124" i="7" s="1"/>
  <c r="CV120" i="7"/>
  <c r="CV124" i="7" s="1"/>
  <c r="CS130" i="7"/>
  <c r="CS120" i="7"/>
  <c r="CR130" i="7"/>
  <c r="CR120" i="7"/>
  <c r="CZ130" i="7"/>
  <c r="CZ120" i="7"/>
  <c r="CZ133" i="7" s="1"/>
  <c r="DA117" i="7"/>
  <c r="DA120" i="7" s="1"/>
  <c r="DA132" i="7"/>
  <c r="DA131" i="7"/>
  <c r="DB131" i="7"/>
  <c r="DB132" i="7"/>
  <c r="DB139" i="7"/>
  <c r="DD115" i="7"/>
  <c r="CV130" i="7"/>
  <c r="CT130" i="7"/>
  <c r="CY133" i="7"/>
  <c r="CY124" i="7"/>
  <c r="CU124" i="7"/>
  <c r="CU133" i="7"/>
  <c r="FR59" i="7"/>
  <c r="ER59" i="7"/>
  <c r="ES59" i="7" s="1"/>
  <c r="ET59" i="7" s="1"/>
  <c r="FS59" i="7" s="1"/>
  <c r="BP167" i="7"/>
  <c r="BP166" i="7"/>
  <c r="BP160" i="7"/>
  <c r="BP156" i="7"/>
  <c r="BP150" i="7"/>
  <c r="BO125" i="7"/>
  <c r="BO121" i="7"/>
  <c r="BP125" i="7"/>
  <c r="BP121" i="7"/>
  <c r="BQ170" i="7"/>
  <c r="BQ167" i="7"/>
  <c r="BQ160" i="7"/>
  <c r="BQ156" i="7"/>
  <c r="BQ150" i="7"/>
  <c r="BQ125" i="7"/>
  <c r="BQ106" i="7"/>
  <c r="BV119" i="7"/>
  <c r="BU119" i="7"/>
  <c r="BV118" i="7"/>
  <c r="BU118" i="7"/>
  <c r="BU141" i="7" s="1"/>
  <c r="BT141" i="7"/>
  <c r="BS141" i="7"/>
  <c r="BR125" i="7"/>
  <c r="BR106" i="7"/>
  <c r="EP4" i="7"/>
  <c r="EP98" i="7"/>
  <c r="EP97" i="7"/>
  <c r="EP96" i="7"/>
  <c r="EP95" i="7"/>
  <c r="EP94" i="7"/>
  <c r="EP93" i="7"/>
  <c r="EP92" i="7"/>
  <c r="EP91" i="7"/>
  <c r="EP114" i="7"/>
  <c r="BV88" i="7"/>
  <c r="BU88" i="7"/>
  <c r="BV87" i="7"/>
  <c r="BU87" i="7"/>
  <c r="BV86" i="7"/>
  <c r="BU86" i="7"/>
  <c r="BV85" i="7"/>
  <c r="BU85" i="7"/>
  <c r="BV142" i="7"/>
  <c r="BU142" i="7"/>
  <c r="BT142" i="7"/>
  <c r="BP106" i="7"/>
  <c r="EO13" i="7"/>
  <c r="BP28" i="7"/>
  <c r="BQ28" i="7"/>
  <c r="EO69" i="7"/>
  <c r="EO82" i="7"/>
  <c r="BR167" i="7"/>
  <c r="BR166" i="7"/>
  <c r="BR160" i="7"/>
  <c r="BR153" i="7"/>
  <c r="BR156" i="7"/>
  <c r="BR150" i="7"/>
  <c r="DD117" i="7" l="1"/>
  <c r="DH139" i="7"/>
  <c r="CN120" i="7"/>
  <c r="CN133" i="7" s="1"/>
  <c r="CH135" i="7"/>
  <c r="CH127" i="7"/>
  <c r="CC127" i="7"/>
  <c r="CC135" i="7"/>
  <c r="BW127" i="7"/>
  <c r="BW135" i="7"/>
  <c r="CZ124" i="7"/>
  <c r="CZ126" i="7" s="1"/>
  <c r="CZ175" i="7" s="1"/>
  <c r="CX135" i="7"/>
  <c r="EY142" i="7"/>
  <c r="FD118" i="7"/>
  <c r="FC141" i="7"/>
  <c r="DC116" i="7"/>
  <c r="DC125" i="7"/>
  <c r="DC126" i="7" s="1"/>
  <c r="EX139" i="7"/>
  <c r="EX117" i="7"/>
  <c r="EX120" i="7" s="1"/>
  <c r="EX132" i="7"/>
  <c r="EX131" i="7"/>
  <c r="EW120" i="7"/>
  <c r="EW130" i="7"/>
  <c r="EV130" i="7"/>
  <c r="EV120" i="7"/>
  <c r="DD120" i="7"/>
  <c r="DD124" i="7" s="1"/>
  <c r="DD116" i="7"/>
  <c r="EY144" i="7"/>
  <c r="EQ143" i="7"/>
  <c r="EP143" i="7"/>
  <c r="CO127" i="7"/>
  <c r="CO135" i="7"/>
  <c r="EY115" i="7"/>
  <c r="EZ143" i="7"/>
  <c r="CM127" i="7"/>
  <c r="CM135" i="7"/>
  <c r="EZ142" i="7"/>
  <c r="CT133" i="7"/>
  <c r="CN124" i="7"/>
  <c r="CN126" i="7" s="1"/>
  <c r="CV126" i="7"/>
  <c r="CV134" i="7"/>
  <c r="CT126" i="7"/>
  <c r="CT134" i="7"/>
  <c r="CV133" i="7"/>
  <c r="CR124" i="7"/>
  <c r="CR133" i="7"/>
  <c r="CS124" i="7"/>
  <c r="CS133" i="7"/>
  <c r="DB120" i="7"/>
  <c r="DB133" i="7" s="1"/>
  <c r="DB130" i="7"/>
  <c r="CP127" i="7"/>
  <c r="CP135" i="7"/>
  <c r="DD131" i="7"/>
  <c r="DD132" i="7"/>
  <c r="DD130" i="7"/>
  <c r="DD139" i="7"/>
  <c r="DC131" i="7"/>
  <c r="DC132" i="7"/>
  <c r="DC133" i="7"/>
  <c r="DC130" i="7"/>
  <c r="DC139" i="7"/>
  <c r="DA130" i="7"/>
  <c r="DF115" i="7"/>
  <c r="DE115" i="7"/>
  <c r="CU126" i="7"/>
  <c r="CU134" i="7"/>
  <c r="CY126" i="7"/>
  <c r="CY175" i="7" s="1"/>
  <c r="CY134" i="7"/>
  <c r="BQ158" i="7"/>
  <c r="BQ171" i="7"/>
  <c r="BQ173" i="7" s="1"/>
  <c r="BP171" i="7"/>
  <c r="BP173" i="7" s="1"/>
  <c r="EP38" i="7"/>
  <c r="EP60" i="7"/>
  <c r="EP78" i="7"/>
  <c r="EP80" i="7"/>
  <c r="EP84" i="7"/>
  <c r="BP149" i="7"/>
  <c r="EP67" i="7"/>
  <c r="EP43" i="7"/>
  <c r="EP76" i="7"/>
  <c r="EP36" i="7"/>
  <c r="EP62" i="7"/>
  <c r="EP74" i="7"/>
  <c r="EP75" i="7"/>
  <c r="EP77" i="7"/>
  <c r="EP79" i="7"/>
  <c r="EP81" i="7"/>
  <c r="EP68" i="7"/>
  <c r="EP10" i="7"/>
  <c r="EP27" i="7"/>
  <c r="EP87" i="7"/>
  <c r="EP32" i="7"/>
  <c r="EP83" i="7"/>
  <c r="EP69" i="7"/>
  <c r="EP16" i="7"/>
  <c r="EP86" i="7"/>
  <c r="EP89" i="7"/>
  <c r="BP158" i="7"/>
  <c r="EP33" i="7"/>
  <c r="EP23" i="7"/>
  <c r="EP88" i="7"/>
  <c r="EP31" i="7"/>
  <c r="EP46" i="7"/>
  <c r="EQ46" i="7" s="1"/>
  <c r="ER46" i="7" s="1"/>
  <c r="ES46" i="7" s="1"/>
  <c r="ET46" i="7" s="1"/>
  <c r="FS46" i="7" s="1"/>
  <c r="BQ115" i="7"/>
  <c r="EP73" i="7"/>
  <c r="EP57" i="7"/>
  <c r="EP37" i="7"/>
  <c r="EP85" i="7"/>
  <c r="EP111" i="7"/>
  <c r="EP71" i="7"/>
  <c r="EP66" i="7"/>
  <c r="EP42" i="7"/>
  <c r="EP64" i="7"/>
  <c r="EP22" i="7"/>
  <c r="EQ22" i="7" s="1"/>
  <c r="ER22" i="7" s="1"/>
  <c r="ES22" i="7" s="1"/>
  <c r="ET22" i="7" s="1"/>
  <c r="BV113" i="7"/>
  <c r="EP65" i="7"/>
  <c r="EP82" i="7"/>
  <c r="EQ82" i="7" s="1"/>
  <c r="EP70" i="7"/>
  <c r="EP58" i="7"/>
  <c r="EP63" i="7"/>
  <c r="BV141" i="7"/>
  <c r="BQ149" i="7"/>
  <c r="BR149" i="7"/>
  <c r="BR158" i="7"/>
  <c r="BR171" i="7"/>
  <c r="BR173" i="7" s="1"/>
  <c r="BR28" i="7"/>
  <c r="DE117" i="7" l="1"/>
  <c r="DI139" i="7"/>
  <c r="CZ134" i="7"/>
  <c r="EX130" i="7"/>
  <c r="EY136" i="7"/>
  <c r="FE118" i="7"/>
  <c r="FD141" i="7"/>
  <c r="DD133" i="7"/>
  <c r="DC127" i="7"/>
  <c r="DC135" i="7"/>
  <c r="EY131" i="7"/>
  <c r="EY132" i="7"/>
  <c r="EV133" i="7"/>
  <c r="EV124" i="7"/>
  <c r="DC134" i="7"/>
  <c r="EW124" i="7"/>
  <c r="EW133" i="7"/>
  <c r="EX124" i="7"/>
  <c r="EX126" i="7" s="1"/>
  <c r="EX127" i="7" s="1"/>
  <c r="EX133" i="7"/>
  <c r="EY139" i="7"/>
  <c r="DE120" i="7"/>
  <c r="DE124" i="7" s="1"/>
  <c r="DE116" i="7"/>
  <c r="DF120" i="7"/>
  <c r="DF124" i="7" s="1"/>
  <c r="DD125" i="7"/>
  <c r="DD134" i="7" s="1"/>
  <c r="FB5" i="7"/>
  <c r="FA142" i="7"/>
  <c r="FB4" i="7"/>
  <c r="FA143" i="7"/>
  <c r="CN134" i="7"/>
  <c r="EZ144" i="7"/>
  <c r="DB124" i="7"/>
  <c r="CN127" i="7"/>
  <c r="CN135" i="7"/>
  <c r="CR134" i="7"/>
  <c r="CR126" i="7"/>
  <c r="CT127" i="7"/>
  <c r="CT135" i="7"/>
  <c r="CS134" i="7"/>
  <c r="CS126" i="7"/>
  <c r="CV127" i="7"/>
  <c r="CV135" i="7"/>
  <c r="DF132" i="7"/>
  <c r="DF139" i="7"/>
  <c r="DF131" i="7"/>
  <c r="DA124" i="7"/>
  <c r="DA133" i="7"/>
  <c r="DE130" i="7"/>
  <c r="DE132" i="7"/>
  <c r="DE131" i="7"/>
  <c r="DE139" i="7"/>
  <c r="CZ135" i="7"/>
  <c r="CZ127" i="7"/>
  <c r="CY127" i="7"/>
  <c r="CY135" i="7"/>
  <c r="CU127" i="7"/>
  <c r="CU135" i="7"/>
  <c r="EP13" i="7"/>
  <c r="BV115" i="7"/>
  <c r="BQ117" i="7"/>
  <c r="BQ130" i="7" s="1"/>
  <c r="BQ147" i="7"/>
  <c r="BT115" i="7"/>
  <c r="BU115" i="7"/>
  <c r="EP113" i="7"/>
  <c r="EP9" i="7"/>
  <c r="BO5" i="7"/>
  <c r="BO106" i="7"/>
  <c r="EP106" i="7" s="1"/>
  <c r="BO28" i="7"/>
  <c r="EP28" i="7" s="1"/>
  <c r="BN106" i="7"/>
  <c r="BN5" i="7"/>
  <c r="BN28" i="7"/>
  <c r="BM141" i="7"/>
  <c r="BM28" i="7"/>
  <c r="E115" i="7"/>
  <c r="D115" i="7"/>
  <c r="C115" i="7"/>
  <c r="BM106" i="7"/>
  <c r="BM5" i="7"/>
  <c r="BV117" i="7" l="1"/>
  <c r="BZ139" i="7"/>
  <c r="BU117" i="7"/>
  <c r="BU130" i="7" s="1"/>
  <c r="BY139" i="7"/>
  <c r="BT117" i="7"/>
  <c r="BT120" i="7" s="1"/>
  <c r="BX139" i="7"/>
  <c r="FF118" i="7"/>
  <c r="FE141" i="7"/>
  <c r="DE133" i="7"/>
  <c r="DD126" i="7"/>
  <c r="DD127" i="7" s="1"/>
  <c r="EZ136" i="7"/>
  <c r="EZ117" i="7"/>
  <c r="EZ132" i="7"/>
  <c r="EZ131" i="7"/>
  <c r="EW126" i="7"/>
  <c r="EW127" i="7" s="1"/>
  <c r="EW134" i="7"/>
  <c r="EV126" i="7"/>
  <c r="EV127" i="7" s="1"/>
  <c r="EV134" i="7"/>
  <c r="DF130" i="7"/>
  <c r="DF125" i="7"/>
  <c r="DF134" i="7" s="1"/>
  <c r="DF133" i="7"/>
  <c r="EY116" i="7"/>
  <c r="EY117" i="7" s="1"/>
  <c r="DE125" i="7"/>
  <c r="DE134" i="7" s="1"/>
  <c r="EZ139" i="7"/>
  <c r="FA144" i="7"/>
  <c r="FB7" i="7"/>
  <c r="FC4" i="7"/>
  <c r="FB143" i="7"/>
  <c r="FB142" i="7"/>
  <c r="FC5" i="7"/>
  <c r="CS127" i="7"/>
  <c r="CS135" i="7"/>
  <c r="CR127" i="7"/>
  <c r="CR135" i="7"/>
  <c r="DB134" i="7"/>
  <c r="DA126" i="7"/>
  <c r="DA134" i="7"/>
  <c r="BV131" i="7"/>
  <c r="BV132" i="7"/>
  <c r="BU131" i="7"/>
  <c r="BT132" i="7"/>
  <c r="BT131" i="7"/>
  <c r="BU139" i="7"/>
  <c r="BU132" i="7"/>
  <c r="BU116" i="7"/>
  <c r="BV120" i="7"/>
  <c r="BV130" i="7"/>
  <c r="EO5" i="7"/>
  <c r="BO115" i="7"/>
  <c r="BV116" i="7"/>
  <c r="BM115" i="7"/>
  <c r="BM117" i="7" s="1"/>
  <c r="BM130" i="7" s="1"/>
  <c r="EH82" i="7"/>
  <c r="BL187" i="7"/>
  <c r="BL184" i="7"/>
  <c r="BL181" i="7"/>
  <c r="BL179" i="7"/>
  <c r="BL178" i="7"/>
  <c r="BL176" i="7"/>
  <c r="BK185" i="7"/>
  <c r="BL182" i="7"/>
  <c r="BL180" i="7"/>
  <c r="BL177" i="7"/>
  <c r="BL167" i="7"/>
  <c r="BL166" i="7"/>
  <c r="BL160" i="7"/>
  <c r="BL150" i="7"/>
  <c r="BL156" i="7"/>
  <c r="BL141" i="7"/>
  <c r="BK141" i="7"/>
  <c r="BJ141" i="7"/>
  <c r="BL106" i="7"/>
  <c r="AD5" i="7"/>
  <c r="AH5" i="7"/>
  <c r="AL5" i="7"/>
  <c r="BH5" i="7"/>
  <c r="BI5" i="7"/>
  <c r="BJ5" i="7"/>
  <c r="FF141" i="7" l="1"/>
  <c r="FG118" i="7"/>
  <c r="BU120" i="7"/>
  <c r="DD135" i="7"/>
  <c r="DE126" i="7"/>
  <c r="DE127" i="7" s="1"/>
  <c r="EZ120" i="7"/>
  <c r="EZ130" i="7"/>
  <c r="EZ116" i="7"/>
  <c r="FA139" i="7"/>
  <c r="EY120" i="7"/>
  <c r="EY130" i="7"/>
  <c r="EY125" i="7"/>
  <c r="DF126" i="7"/>
  <c r="FC142" i="7"/>
  <c r="FD5" i="7"/>
  <c r="FD4" i="7"/>
  <c r="FC143" i="7"/>
  <c r="FC7" i="7"/>
  <c r="FB144" i="7"/>
  <c r="DB126" i="7"/>
  <c r="DA135" i="7"/>
  <c r="DA175" i="7"/>
  <c r="DA127" i="7"/>
  <c r="BL158" i="7"/>
  <c r="BL149" i="7"/>
  <c r="BV124" i="7"/>
  <c r="BV133" i="7"/>
  <c r="BT130" i="7"/>
  <c r="EP5" i="7"/>
  <c r="BS142" i="7"/>
  <c r="BS117" i="7"/>
  <c r="BU133" i="7"/>
  <c r="BU124" i="7"/>
  <c r="BM132" i="7"/>
  <c r="BM131" i="7"/>
  <c r="BM142" i="7"/>
  <c r="BL171" i="7"/>
  <c r="BL173" i="7" s="1"/>
  <c r="BL185" i="7"/>
  <c r="BL201" i="7" s="1"/>
  <c r="EM82" i="7"/>
  <c r="EM69" i="7"/>
  <c r="BL5" i="7"/>
  <c r="BL28" i="7"/>
  <c r="FH118" i="7" l="1"/>
  <c r="FG141" i="7"/>
  <c r="DE135" i="7"/>
  <c r="EZ133" i="7"/>
  <c r="EZ124" i="7"/>
  <c r="FA136" i="7"/>
  <c r="FA131" i="7"/>
  <c r="FA132" i="7"/>
  <c r="EY133" i="7"/>
  <c r="EY124" i="7"/>
  <c r="EY126" i="7" s="1"/>
  <c r="EY127" i="7" s="1"/>
  <c r="DF127" i="7"/>
  <c r="DF135" i="7"/>
  <c r="FB115" i="7"/>
  <c r="FD7" i="7"/>
  <c r="FC144" i="7"/>
  <c r="FD143" i="7"/>
  <c r="FE4" i="7"/>
  <c r="FD142" i="7"/>
  <c r="FE5" i="7"/>
  <c r="DB127" i="7"/>
  <c r="DB135" i="7"/>
  <c r="BS132" i="7"/>
  <c r="BS131" i="7"/>
  <c r="BT124" i="7"/>
  <c r="BT133" i="7"/>
  <c r="BV125" i="7"/>
  <c r="BV134" i="7" s="1"/>
  <c r="BU125" i="7"/>
  <c r="BU134" i="7" s="1"/>
  <c r="BL142" i="7"/>
  <c r="BL115"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FH141" i="7" l="1"/>
  <c r="FI118" i="7"/>
  <c r="EZ125" i="7"/>
  <c r="EZ126" i="7" s="1"/>
  <c r="EZ127" i="7" s="1"/>
  <c r="FB139" i="7"/>
  <c r="FB131" i="7"/>
  <c r="FB117" i="7"/>
  <c r="FB132" i="7"/>
  <c r="FA130" i="7"/>
  <c r="FA120" i="7"/>
  <c r="FB136" i="7"/>
  <c r="FF4" i="7"/>
  <c r="FE143" i="7"/>
  <c r="FE142" i="7"/>
  <c r="FF5" i="7"/>
  <c r="FE7" i="7"/>
  <c r="FD144" i="7"/>
  <c r="AA29" i="50"/>
  <c r="X32" i="50"/>
  <c r="Z29" i="50"/>
  <c r="Z32" i="50"/>
  <c r="I17" i="50"/>
  <c r="Z27" i="50"/>
  <c r="AA27" i="50"/>
  <c r="AC27" i="50"/>
  <c r="AC28" i="50"/>
  <c r="AC29" i="50"/>
  <c r="AB32" i="50"/>
  <c r="AB27" i="50"/>
  <c r="AB28" i="50"/>
  <c r="H17" i="50"/>
  <c r="H18" i="50"/>
  <c r="H22" i="50"/>
  <c r="BU126" i="7"/>
  <c r="BU135" i="7" s="1"/>
  <c r="BV126" i="7"/>
  <c r="BV127" i="7" s="1"/>
  <c r="BS130" i="7"/>
  <c r="BS120" i="7"/>
  <c r="BT126" i="7"/>
  <c r="BT134" i="7"/>
  <c r="X16" i="50"/>
  <c r="AB16" i="50"/>
  <c r="AA32" i="50"/>
  <c r="U16" i="50"/>
  <c r="Y27" i="50"/>
  <c r="I18" i="50"/>
  <c r="I19" i="50"/>
  <c r="H19" i="50"/>
  <c r="I22" i="50"/>
  <c r="Y29" i="50"/>
  <c r="Z16" i="50"/>
  <c r="AB29" i="50"/>
  <c r="V16" i="50"/>
  <c r="AA16" i="50"/>
  <c r="W16" i="50"/>
  <c r="Y16" i="50"/>
  <c r="FI141" i="7" l="1"/>
  <c r="FJ118" i="7"/>
  <c r="FC139" i="7"/>
  <c r="FC131" i="7"/>
  <c r="FC132" i="7"/>
  <c r="FC117" i="7"/>
  <c r="FC136" i="7"/>
  <c r="FA124" i="7"/>
  <c r="FA133" i="7"/>
  <c r="FB120" i="7"/>
  <c r="FB130" i="7"/>
  <c r="FB116" i="7"/>
  <c r="FD115" i="7"/>
  <c r="FF7" i="7"/>
  <c r="FE144" i="7"/>
  <c r="FF142" i="7"/>
  <c r="FG5" i="7"/>
  <c r="FG4" i="7"/>
  <c r="FF143" i="7"/>
  <c r="BV135" i="7"/>
  <c r="Z26" i="50"/>
  <c r="BU127" i="7"/>
  <c r="BT127" i="7"/>
  <c r="BT135" i="7"/>
  <c r="BS124" i="7"/>
  <c r="BS133" i="7"/>
  <c r="AA26" i="50"/>
  <c r="AB26" i="50"/>
  <c r="H16" i="50"/>
  <c r="X26" i="50"/>
  <c r="AC26" i="50"/>
  <c r="Y26" i="50"/>
  <c r="I16" i="50"/>
  <c r="DU71" i="7"/>
  <c r="DT71" i="7" s="1"/>
  <c r="DS71" i="7" s="1"/>
  <c r="F94" i="7"/>
  <c r="F71" i="7"/>
  <c r="G66" i="7"/>
  <c r="FJ141" i="7" l="1"/>
  <c r="FK118" i="7"/>
  <c r="FK141" i="7" s="1"/>
  <c r="FD139" i="7"/>
  <c r="FD117" i="7"/>
  <c r="FD116" i="7" s="1"/>
  <c r="FD131" i="7"/>
  <c r="FD132" i="7"/>
  <c r="FD136" i="7"/>
  <c r="FB124" i="7"/>
  <c r="FB133" i="7"/>
  <c r="FA126" i="7"/>
  <c r="FC130" i="7"/>
  <c r="FC120" i="7"/>
  <c r="FC116" i="7"/>
  <c r="FH4" i="7"/>
  <c r="FG143" i="7"/>
  <c r="FG142" i="7"/>
  <c r="FH5" i="7"/>
  <c r="FG7" i="7"/>
  <c r="FF144" i="7"/>
  <c r="FE115" i="7"/>
  <c r="BS134" i="7"/>
  <c r="FS4" i="7"/>
  <c r="EI32" i="7"/>
  <c r="EK32" i="7"/>
  <c r="EM32" i="7"/>
  <c r="FA127" i="7" l="1"/>
  <c r="FE139" i="7"/>
  <c r="FE117" i="7"/>
  <c r="FE116" i="7" s="1"/>
  <c r="FE131" i="7"/>
  <c r="FE132" i="7"/>
  <c r="FE136" i="7"/>
  <c r="FB125" i="7"/>
  <c r="FB126" i="7" s="1"/>
  <c r="FB127" i="7" s="1"/>
  <c r="FC124" i="7"/>
  <c r="FC133" i="7"/>
  <c r="FD130" i="7"/>
  <c r="FD120" i="7"/>
  <c r="FG3" i="7"/>
  <c r="FF115" i="7"/>
  <c r="FH7" i="7"/>
  <c r="FG144" i="7"/>
  <c r="FH142" i="7"/>
  <c r="FI5" i="7"/>
  <c r="FI4" i="7"/>
  <c r="FH143" i="7"/>
  <c r="BS126" i="7"/>
  <c r="BS135" i="7" s="1"/>
  <c r="EC132" i="7"/>
  <c r="EB132" i="7"/>
  <c r="EA132" i="7"/>
  <c r="DZ132" i="7"/>
  <c r="DY132" i="7"/>
  <c r="DX132" i="7"/>
  <c r="DW132" i="7"/>
  <c r="DV132" i="7"/>
  <c r="FC125" i="7" l="1"/>
  <c r="FC126" i="7" s="1"/>
  <c r="FC127" i="7" s="1"/>
  <c r="FF139" i="7"/>
  <c r="FF117" i="7"/>
  <c r="FF131" i="7"/>
  <c r="FF132" i="7"/>
  <c r="FF136" i="7"/>
  <c r="FD124" i="7"/>
  <c r="FD133" i="7"/>
  <c r="FE130" i="7"/>
  <c r="FE120" i="7"/>
  <c r="FI142" i="7"/>
  <c r="FJ5" i="7"/>
  <c r="FI7" i="7"/>
  <c r="FH144" i="7"/>
  <c r="FJ4" i="7"/>
  <c r="FI143" i="7"/>
  <c r="FH3" i="7"/>
  <c r="FG115" i="7"/>
  <c r="BS127" i="7"/>
  <c r="EM78" i="7"/>
  <c r="EM118" i="7"/>
  <c r="EM113" i="7"/>
  <c r="EM114" i="7"/>
  <c r="BK201" i="7"/>
  <c r="BJ167" i="7"/>
  <c r="BJ160" i="7"/>
  <c r="BJ156" i="7"/>
  <c r="BJ150" i="7"/>
  <c r="BI146" i="7"/>
  <c r="BH146" i="7"/>
  <c r="BG146" i="7"/>
  <c r="BF146" i="7"/>
  <c r="BE146" i="7"/>
  <c r="BD146" i="7"/>
  <c r="BK160" i="7"/>
  <c r="BK167" i="7"/>
  <c r="BK156" i="7"/>
  <c r="BK150" i="7"/>
  <c r="BB142" i="7"/>
  <c r="EN42" i="7"/>
  <c r="EN9" i="7"/>
  <c r="FG139" i="7" l="1"/>
  <c r="FG117" i="7"/>
  <c r="FG132" i="7"/>
  <c r="FG131" i="7"/>
  <c r="FE124" i="7"/>
  <c r="FE133" i="7"/>
  <c r="FD125" i="7"/>
  <c r="FD126" i="7" s="1"/>
  <c r="FD127" i="7" s="1"/>
  <c r="FF130" i="7"/>
  <c r="FF120" i="7"/>
  <c r="FF116" i="7"/>
  <c r="FI3" i="7"/>
  <c r="FH115" i="7"/>
  <c r="FJ142" i="7"/>
  <c r="FK5" i="7"/>
  <c r="FK4" i="7"/>
  <c r="FK143" i="7" s="1"/>
  <c r="FJ143" i="7"/>
  <c r="FJ7" i="7"/>
  <c r="FI144" i="7"/>
  <c r="BJ149" i="7"/>
  <c r="BJ146" i="7" s="1"/>
  <c r="EN111" i="7"/>
  <c r="EN118" i="7"/>
  <c r="BK171" i="7"/>
  <c r="BK173" i="7" s="1"/>
  <c r="BK149" i="7"/>
  <c r="BK146" i="7" s="1"/>
  <c r="BJ171" i="7"/>
  <c r="BJ173" i="7" s="1"/>
  <c r="EO111" i="7"/>
  <c r="BK158" i="7"/>
  <c r="EN64" i="7"/>
  <c r="BJ158" i="7"/>
  <c r="EN128" i="7"/>
  <c r="EM128" i="7"/>
  <c r="EM4" i="7"/>
  <c r="EM111" i="7"/>
  <c r="EL114" i="7"/>
  <c r="BO141" i="7"/>
  <c r="BQ141" i="7"/>
  <c r="BP141" i="7"/>
  <c r="FH139" i="7" l="1"/>
  <c r="FH132" i="7"/>
  <c r="FH117" i="7"/>
  <c r="FH116" i="7"/>
  <c r="FH131" i="7"/>
  <c r="FG116" i="7"/>
  <c r="FG120" i="7"/>
  <c r="FG130" i="7"/>
  <c r="FF124" i="7"/>
  <c r="FF133" i="7"/>
  <c r="FE125" i="7"/>
  <c r="FE126" i="7" s="1"/>
  <c r="FE127" i="7" s="1"/>
  <c r="FK142" i="7"/>
  <c r="FK7" i="7"/>
  <c r="FK144" i="7" s="1"/>
  <c r="FJ144" i="7"/>
  <c r="FJ3" i="7"/>
  <c r="FI115" i="7"/>
  <c r="EO42" i="7"/>
  <c r="EQ111" i="7"/>
  <c r="ER111" i="7" s="1"/>
  <c r="ES111" i="7" s="1"/>
  <c r="ET111" i="7" s="1"/>
  <c r="BR141" i="7"/>
  <c r="EO118" i="7"/>
  <c r="EN114" i="7"/>
  <c r="BI106" i="7"/>
  <c r="BJ112" i="7"/>
  <c r="EM112" i="7" s="1"/>
  <c r="BN141" i="7"/>
  <c r="EN113" i="7"/>
  <c r="BK106" i="7"/>
  <c r="FI139" i="7" l="1"/>
  <c r="FI132" i="7"/>
  <c r="FI117" i="7"/>
  <c r="FI116" i="7" s="1"/>
  <c r="FI131" i="7"/>
  <c r="FG133" i="7"/>
  <c r="FG124" i="7"/>
  <c r="FG125" i="7" s="1"/>
  <c r="FG126" i="7" s="1"/>
  <c r="FG127" i="7" s="1"/>
  <c r="FH130" i="7"/>
  <c r="FH120" i="7"/>
  <c r="FF125" i="7"/>
  <c r="FF126" i="7" s="1"/>
  <c r="FF127" i="7" s="1"/>
  <c r="FK3" i="7"/>
  <c r="FK115" i="7" s="1"/>
  <c r="FJ115" i="7"/>
  <c r="EO113" i="7"/>
  <c r="BK112" i="7"/>
  <c r="EN112" i="7" s="1"/>
  <c r="FJ139" i="7" l="1"/>
  <c r="FJ117" i="7"/>
  <c r="FJ116" i="7" s="1"/>
  <c r="FJ132" i="7"/>
  <c r="FJ131" i="7"/>
  <c r="FK132" i="7"/>
  <c r="FK117" i="7"/>
  <c r="FK131" i="7"/>
  <c r="FH133" i="7"/>
  <c r="FH124" i="7"/>
  <c r="FH125" i="7" s="1"/>
  <c r="FH126" i="7" s="1"/>
  <c r="FI130" i="7"/>
  <c r="FI120" i="7"/>
  <c r="FK139" i="7"/>
  <c r="EO114" i="7"/>
  <c r="EQ114" i="7" s="1"/>
  <c r="ER114" i="7" s="1"/>
  <c r="ES114" i="7" s="1"/>
  <c r="EN106" i="7"/>
  <c r="EN119" i="7"/>
  <c r="EO73" i="7"/>
  <c r="EN73" i="7"/>
  <c r="EO60" i="7"/>
  <c r="EN60" i="7"/>
  <c r="EO23" i="7"/>
  <c r="EQ23" i="7" s="1"/>
  <c r="EN23" i="7"/>
  <c r="EO76" i="7"/>
  <c r="EN76" i="7"/>
  <c r="EN66" i="7"/>
  <c r="EO75" i="7"/>
  <c r="EN75" i="7"/>
  <c r="EO36" i="7"/>
  <c r="EN36" i="7"/>
  <c r="FH127" i="7" l="1"/>
  <c r="FI133" i="7"/>
  <c r="FI124" i="7"/>
  <c r="FI125" i="7" s="1"/>
  <c r="FI126" i="7" s="1"/>
  <c r="FI127" i="7" s="1"/>
  <c r="FK130" i="7"/>
  <c r="FK120" i="7"/>
  <c r="FK116" i="7"/>
  <c r="FJ130" i="7"/>
  <c r="FJ120" i="7"/>
  <c r="EO106" i="7"/>
  <c r="EN33" i="7"/>
  <c r="EN68" i="7"/>
  <c r="EN16" i="7"/>
  <c r="EN81" i="7"/>
  <c r="EN79" i="7"/>
  <c r="EO66" i="7"/>
  <c r="EN62" i="7"/>
  <c r="EN80" i="7"/>
  <c r="EN84" i="7"/>
  <c r="EN83" i="7"/>
  <c r="ER23" i="7"/>
  <c r="ES23" i="7" s="1"/>
  <c r="ET23" i="7" s="1"/>
  <c r="FS23" i="7" s="1"/>
  <c r="FR23" i="7"/>
  <c r="EM10" i="7"/>
  <c r="EK5" i="7"/>
  <c r="BJ28" i="7"/>
  <c r="BK28" i="7"/>
  <c r="BK5" i="7"/>
  <c r="FJ133" i="7" l="1"/>
  <c r="FJ124" i="7"/>
  <c r="FK124" i="7"/>
  <c r="FK125" i="7" s="1"/>
  <c r="FK126" i="7" s="1"/>
  <c r="FK133" i="7"/>
  <c r="BK115" i="7"/>
  <c r="BJ115" i="7"/>
  <c r="EN82" i="7"/>
  <c r="EN63" i="7"/>
  <c r="EO57" i="7"/>
  <c r="EN57" i="7"/>
  <c r="EO32" i="7"/>
  <c r="EQ32" i="7" s="1"/>
  <c r="ER32" i="7" s="1"/>
  <c r="ES32" i="7" s="1"/>
  <c r="ET32" i="7" s="1"/>
  <c r="EN32" i="7"/>
  <c r="EN70" i="7"/>
  <c r="EO79" i="7"/>
  <c r="EQ79" i="7" s="1"/>
  <c r="ER79" i="7" s="1"/>
  <c r="ES79" i="7" s="1"/>
  <c r="ET79" i="7" s="1"/>
  <c r="FS79" i="7" s="1"/>
  <c r="EO33" i="7"/>
  <c r="EO84" i="7"/>
  <c r="EQ84" i="7" s="1"/>
  <c r="ER84" i="7" s="1"/>
  <c r="ES84" i="7" s="1"/>
  <c r="ET84" i="7" s="1"/>
  <c r="FS84" i="7" s="1"/>
  <c r="EO16" i="7"/>
  <c r="EQ16" i="7" s="1"/>
  <c r="ER16" i="7" s="1"/>
  <c r="FS16" i="7" s="1"/>
  <c r="EO68" i="7"/>
  <c r="EQ68" i="7" s="1"/>
  <c r="ER68" i="7" s="1"/>
  <c r="ES68" i="7" s="1"/>
  <c r="ET68" i="7" s="1"/>
  <c r="FS68" i="7" s="1"/>
  <c r="EO81" i="7"/>
  <c r="EQ81" i="7" s="1"/>
  <c r="ER81" i="7" s="1"/>
  <c r="ES81" i="7" s="1"/>
  <c r="ET81" i="7" s="1"/>
  <c r="FS81" i="7" s="1"/>
  <c r="EO83" i="7"/>
  <c r="EQ83" i="7" s="1"/>
  <c r="ER83" i="7" s="1"/>
  <c r="ES83" i="7" s="1"/>
  <c r="ET83" i="7" s="1"/>
  <c r="FS83" i="7" s="1"/>
  <c r="EO80" i="7"/>
  <c r="EQ80" i="7" s="1"/>
  <c r="ER80" i="7" s="1"/>
  <c r="ES80" i="7" s="1"/>
  <c r="ET80" i="7" s="1"/>
  <c r="FS80" i="7" s="1"/>
  <c r="EN10" i="7"/>
  <c r="EO27" i="7"/>
  <c r="EN27" i="7"/>
  <c r="EO62" i="7"/>
  <c r="EQ62" i="7" s="1"/>
  <c r="ER62" i="7" s="1"/>
  <c r="ES62" i="7" s="1"/>
  <c r="ET62" i="7" s="1"/>
  <c r="FS62" i="7" s="1"/>
  <c r="BO142" i="7"/>
  <c r="BH106" i="7"/>
  <c r="BI28" i="7"/>
  <c r="BH28" i="7"/>
  <c r="FK127" i="7" l="1"/>
  <c r="FL126" i="7"/>
  <c r="FM126" i="7" s="1"/>
  <c r="FN126" i="7" s="1"/>
  <c r="FO126" i="7" s="1"/>
  <c r="FP126" i="7" s="1"/>
  <c r="FQ126" i="7" s="1"/>
  <c r="FR126" i="7" s="1"/>
  <c r="FS126" i="7" s="1"/>
  <c r="FT126" i="7" s="1"/>
  <c r="FU126" i="7" s="1"/>
  <c r="FV126" i="7" s="1"/>
  <c r="FW126" i="7" s="1"/>
  <c r="FX126" i="7" s="1"/>
  <c r="FY126" i="7" s="1"/>
  <c r="FZ126" i="7" s="1"/>
  <c r="GA126" i="7" s="1"/>
  <c r="GB126" i="7" s="1"/>
  <c r="GC126" i="7" s="1"/>
  <c r="GD126" i="7" s="1"/>
  <c r="GE126" i="7" s="1"/>
  <c r="GF126" i="7" s="1"/>
  <c r="GG126" i="7" s="1"/>
  <c r="GH126" i="7" s="1"/>
  <c r="GI126" i="7" s="1"/>
  <c r="GJ126" i="7" s="1"/>
  <c r="GK126" i="7" s="1"/>
  <c r="GL126" i="7" s="1"/>
  <c r="GM126" i="7" s="1"/>
  <c r="GN126" i="7" s="1"/>
  <c r="GO126" i="7" s="1"/>
  <c r="GP126" i="7" s="1"/>
  <c r="GQ126" i="7" s="1"/>
  <c r="GR126" i="7" s="1"/>
  <c r="GS126" i="7" s="1"/>
  <c r="GT126" i="7" s="1"/>
  <c r="GU126" i="7" s="1"/>
  <c r="GV126" i="7" s="1"/>
  <c r="GW126" i="7" s="1"/>
  <c r="GX126" i="7" s="1"/>
  <c r="GY126" i="7" s="1"/>
  <c r="GZ126" i="7" s="1"/>
  <c r="HA126" i="7" s="1"/>
  <c r="HB126" i="7" s="1"/>
  <c r="HC126" i="7" s="1"/>
  <c r="FR151" i="7" s="1"/>
  <c r="FR152" i="7" s="1"/>
  <c r="FJ125" i="7"/>
  <c r="FJ126" i="7" s="1"/>
  <c r="FJ127" i="7" s="1"/>
  <c r="BN115" i="7"/>
  <c r="BI115" i="7"/>
  <c r="BM139" i="7" s="1"/>
  <c r="EN67" i="7"/>
  <c r="BK147" i="7"/>
  <c r="BK131" i="7"/>
  <c r="BK132" i="7"/>
  <c r="BJ132" i="7"/>
  <c r="BJ147" i="7"/>
  <c r="BJ131" i="7"/>
  <c r="EN78" i="7"/>
  <c r="EN31" i="7"/>
  <c r="EN58" i="7"/>
  <c r="EO10" i="7"/>
  <c r="EO63" i="7"/>
  <c r="EO70" i="7"/>
  <c r="EN43" i="7"/>
  <c r="EN38" i="7"/>
  <c r="EN65" i="7"/>
  <c r="BK213" i="7"/>
  <c r="EN28" i="7"/>
  <c r="EN77" i="7"/>
  <c r="EN74" i="7"/>
  <c r="EO78" i="7"/>
  <c r="EQ78" i="7" s="1"/>
  <c r="ER78" i="7" s="1"/>
  <c r="ES78" i="7" s="1"/>
  <c r="ET78" i="7" s="1"/>
  <c r="FS78" i="7" s="1"/>
  <c r="EO67" i="7"/>
  <c r="BN142" i="7"/>
  <c r="BR142" i="7"/>
  <c r="BJ117" i="7"/>
  <c r="BJ130" i="7" s="1"/>
  <c r="BK117" i="7"/>
  <c r="BG141" i="7"/>
  <c r="BH141" i="7"/>
  <c r="BI141" i="7"/>
  <c r="BH125" i="7"/>
  <c r="BG106" i="7"/>
  <c r="EM106" i="7" s="1"/>
  <c r="BH115" i="7"/>
  <c r="BI132" i="7" l="1"/>
  <c r="BN117" i="7"/>
  <c r="BN130" i="7" s="1"/>
  <c r="BN132" i="7"/>
  <c r="BN131" i="7"/>
  <c r="EO28" i="7"/>
  <c r="EQ28" i="7" s="1"/>
  <c r="ER28" i="7" s="1"/>
  <c r="ES28" i="7" s="1"/>
  <c r="ET28" i="7" s="1"/>
  <c r="BK130" i="7"/>
  <c r="EN69" i="7"/>
  <c r="EO31" i="7"/>
  <c r="EO58" i="7"/>
  <c r="EN5" i="7"/>
  <c r="EO77" i="7"/>
  <c r="EO74" i="7"/>
  <c r="EO38" i="7"/>
  <c r="EO43" i="7"/>
  <c r="EN71" i="7"/>
  <c r="BI117" i="7"/>
  <c r="BI147" i="7"/>
  <c r="BJ120" i="7"/>
  <c r="BJ133" i="7" s="1"/>
  <c r="BK120" i="7"/>
  <c r="BK133" i="7" s="1"/>
  <c r="BS139" i="7" l="1"/>
  <c r="BL139" i="7"/>
  <c r="BL131" i="7"/>
  <c r="BL147" i="7"/>
  <c r="BL132" i="7"/>
  <c r="BL117" i="7"/>
  <c r="BQ142" i="7"/>
  <c r="BK124" i="7"/>
  <c r="BK134" i="7" s="1"/>
  <c r="BP142" i="7"/>
  <c r="BH131" i="7"/>
  <c r="BH147" i="7"/>
  <c r="BN139" i="7"/>
  <c r="BH132" i="7"/>
  <c r="BH117" i="7"/>
  <c r="BH130" i="7" s="1"/>
  <c r="BG125" i="7"/>
  <c r="BG28" i="7"/>
  <c r="EM28" i="7" s="1"/>
  <c r="BG5" i="7"/>
  <c r="BO132" i="7" l="1"/>
  <c r="BO117" i="7"/>
  <c r="BO131" i="7"/>
  <c r="BK142" i="7"/>
  <c r="BG115" i="7"/>
  <c r="BP115" i="7"/>
  <c r="BM120" i="7"/>
  <c r="BM133" i="7" s="1"/>
  <c r="BL120" i="7"/>
  <c r="BL133" i="7" s="1"/>
  <c r="BL130" i="7"/>
  <c r="EN117" i="7"/>
  <c r="BO139" i="7"/>
  <c r="EM5" i="7"/>
  <c r="BK126" i="7"/>
  <c r="BK135" i="7" s="1"/>
  <c r="EO64" i="7"/>
  <c r="BH120" i="7"/>
  <c r="BH133" i="7" s="1"/>
  <c r="BN120" i="7"/>
  <c r="BN133" i="7" s="1"/>
  <c r="EC139" i="7"/>
  <c r="EB139" i="7"/>
  <c r="EA139" i="7"/>
  <c r="DZ139" i="7"/>
  <c r="DY139" i="7"/>
  <c r="DX139" i="7"/>
  <c r="DW139" i="7"/>
  <c r="EL113" i="7"/>
  <c r="BP131" i="7" l="1"/>
  <c r="BP147" i="7"/>
  <c r="BP132" i="7"/>
  <c r="BT139" i="7"/>
  <c r="BO120" i="7"/>
  <c r="BO133" i="7" s="1"/>
  <c r="BO130" i="7"/>
  <c r="BR115" i="7"/>
  <c r="BL124" i="7"/>
  <c r="BL134" i="7" s="1"/>
  <c r="EN120" i="7"/>
  <c r="BP139" i="7"/>
  <c r="EO71" i="7"/>
  <c r="BQ139" i="7"/>
  <c r="BQ132" i="7"/>
  <c r="EO65" i="7"/>
  <c r="EQ113" i="7"/>
  <c r="ER113" i="7" s="1"/>
  <c r="ES113" i="7" s="1"/>
  <c r="ET113" i="7" s="1"/>
  <c r="BK175" i="7"/>
  <c r="BQ131" i="7"/>
  <c r="BQ120" i="7"/>
  <c r="BH124" i="7"/>
  <c r="BH134" i="7" s="1"/>
  <c r="BK127" i="7"/>
  <c r="BK215" i="7" s="1"/>
  <c r="EL123" i="7"/>
  <c r="EM123" i="7" s="1"/>
  <c r="EL118" i="7"/>
  <c r="BV139" i="7" l="1"/>
  <c r="BR147" i="7"/>
  <c r="BR117" i="7"/>
  <c r="BR130" i="7" s="1"/>
  <c r="EO115" i="7"/>
  <c r="BR139" i="7"/>
  <c r="BR132" i="7"/>
  <c r="BR131" i="7"/>
  <c r="BH126" i="7"/>
  <c r="BH175" i="7" s="1"/>
  <c r="BR120" i="7"/>
  <c r="BR133" i="7" s="1"/>
  <c r="BQ133" i="7"/>
  <c r="EM86" i="7"/>
  <c r="EN86" i="7" s="1"/>
  <c r="EN115" i="7" s="1"/>
  <c r="EN116" i="7" s="1"/>
  <c r="FQ114" i="7"/>
  <c r="EL92" i="7"/>
  <c r="EL112" i="7"/>
  <c r="EL111" i="7"/>
  <c r="EL33" i="7"/>
  <c r="EL23" i="7"/>
  <c r="FQ23" i="7" s="1"/>
  <c r="EL36" i="7"/>
  <c r="EL60" i="7"/>
  <c r="EL75" i="7"/>
  <c r="EL38" i="7"/>
  <c r="EL86" i="7"/>
  <c r="BF141" i="7"/>
  <c r="BF106" i="7"/>
  <c r="BF28" i="7"/>
  <c r="BF5" i="7"/>
  <c r="BJ142" i="7" l="1"/>
  <c r="BF115" i="7"/>
  <c r="BJ139" i="7" s="1"/>
  <c r="BH135" i="7"/>
  <c r="BH127" i="7"/>
  <c r="BF142" i="7"/>
  <c r="BL126" i="7"/>
  <c r="BL127" i="7" s="1"/>
  <c r="BL135" i="7" l="1"/>
  <c r="BL175" i="7"/>
  <c r="BF131" i="7"/>
  <c r="BF147" i="7"/>
  <c r="BL145" i="7"/>
  <c r="BF117" i="7"/>
  <c r="BF120" i="7" s="1"/>
  <c r="BF132" i="7"/>
  <c r="EE106" i="7"/>
  <c r="BE5" i="7"/>
  <c r="BD5" i="7"/>
  <c r="BC5" i="7"/>
  <c r="BE142" i="7" l="1"/>
  <c r="BI142" i="7"/>
  <c r="BM124" i="7"/>
  <c r="BM134" i="7" s="1"/>
  <c r="BL146" i="7"/>
  <c r="BC142" i="7"/>
  <c r="BG142" i="7"/>
  <c r="BD142" i="7"/>
  <c r="BH142" i="7"/>
  <c r="EL5" i="7"/>
  <c r="BF130" i="7"/>
  <c r="BF133" i="7"/>
  <c r="BF124" i="7"/>
  <c r="EM66" i="7"/>
  <c r="FS22" i="7"/>
  <c r="FR22" i="7"/>
  <c r="BE125" i="7"/>
  <c r="BE106" i="7"/>
  <c r="BE141" i="7"/>
  <c r="BD141" i="7"/>
  <c r="BE28" i="7"/>
  <c r="BD106" i="7"/>
  <c r="BD28" i="7"/>
  <c r="AK106" i="7"/>
  <c r="AK125" i="7"/>
  <c r="AL106" i="7"/>
  <c r="AL115" i="7" s="1"/>
  <c r="AL125" i="7"/>
  <c r="AO106" i="7"/>
  <c r="AZ106" i="7"/>
  <c r="AM106" i="7"/>
  <c r="AM115" i="7" s="1"/>
  <c r="AN106" i="7"/>
  <c r="AN115" i="7" s="1"/>
  <c r="AP106" i="7"/>
  <c r="AQ106" i="7"/>
  <c r="AQ69" i="7"/>
  <c r="AQ115" i="7" s="1"/>
  <c r="AR125" i="7"/>
  <c r="AR106" i="7"/>
  <c r="AR115" i="7" s="1"/>
  <c r="AS106" i="7"/>
  <c r="AS82" i="7"/>
  <c r="AS74" i="7"/>
  <c r="AS78" i="7"/>
  <c r="AS71" i="7"/>
  <c r="AS69" i="7"/>
  <c r="AT106" i="7"/>
  <c r="BE128" i="7"/>
  <c r="EL128" i="7" s="1"/>
  <c r="AU106" i="7"/>
  <c r="AU32" i="7"/>
  <c r="AU64" i="7"/>
  <c r="AU43" i="7"/>
  <c r="AU27" i="7"/>
  <c r="AU96" i="7"/>
  <c r="AU65" i="7"/>
  <c r="AU70" i="7"/>
  <c r="AU81" i="7"/>
  <c r="AU23" i="7"/>
  <c r="AU42" i="7"/>
  <c r="AU58" i="7"/>
  <c r="AU63" i="7"/>
  <c r="AU68" i="7"/>
  <c r="AU83" i="7"/>
  <c r="AU80" i="7"/>
  <c r="EJ80" i="7" s="1"/>
  <c r="AU66" i="7"/>
  <c r="AU77" i="7"/>
  <c r="AU82" i="7"/>
  <c r="AU74" i="7"/>
  <c r="AU78" i="7"/>
  <c r="AU57" i="7"/>
  <c r="AU71" i="7"/>
  <c r="AU69" i="7"/>
  <c r="BC185" i="7"/>
  <c r="BC201" i="7" s="1"/>
  <c r="BC167" i="7"/>
  <c r="BC163" i="7"/>
  <c r="BC160" i="7"/>
  <c r="BC156" i="7"/>
  <c r="BC150" i="7"/>
  <c r="EK128" i="7"/>
  <c r="EK92" i="7"/>
  <c r="EK113" i="7"/>
  <c r="EK112" i="7"/>
  <c r="EK111" i="7"/>
  <c r="EK98" i="7"/>
  <c r="EK93" i="7"/>
  <c r="EK68" i="7"/>
  <c r="EK83" i="7"/>
  <c r="EK81" i="7"/>
  <c r="EK80" i="7"/>
  <c r="EK23" i="7"/>
  <c r="EK66" i="7"/>
  <c r="EK73" i="7"/>
  <c r="EK76" i="7"/>
  <c r="EK43" i="7"/>
  <c r="EK74" i="7"/>
  <c r="EK78" i="7"/>
  <c r="EK96" i="7"/>
  <c r="EK42" i="7"/>
  <c r="EK57" i="7"/>
  <c r="EK27" i="7"/>
  <c r="EK86" i="7"/>
  <c r="EK77" i="7"/>
  <c r="EK31" i="7"/>
  <c r="EK58" i="7"/>
  <c r="EK65" i="7"/>
  <c r="EK67" i="7"/>
  <c r="EK64" i="7"/>
  <c r="EK70" i="7"/>
  <c r="EK10" i="7"/>
  <c r="AW106" i="7"/>
  <c r="AY106" i="7"/>
  <c r="AY69" i="7"/>
  <c r="BA106" i="7"/>
  <c r="AV106" i="7"/>
  <c r="AV23" i="7"/>
  <c r="AV66" i="7"/>
  <c r="AV73" i="7"/>
  <c r="AV43" i="7"/>
  <c r="AV74" i="7"/>
  <c r="AV78" i="7"/>
  <c r="AV96" i="7"/>
  <c r="AV42" i="7"/>
  <c r="AV57" i="7"/>
  <c r="AV32" i="7"/>
  <c r="AV27" i="7"/>
  <c r="AV77" i="7"/>
  <c r="AV58" i="7"/>
  <c r="AV65" i="7"/>
  <c r="AV64" i="7"/>
  <c r="AV70" i="7"/>
  <c r="AV71" i="7"/>
  <c r="AV63" i="7"/>
  <c r="AV82" i="7"/>
  <c r="AV69" i="7"/>
  <c r="AV125" i="7"/>
  <c r="AZ125" i="7"/>
  <c r="AZ114" i="7"/>
  <c r="BA114" i="7"/>
  <c r="BB106" i="7"/>
  <c r="BA125" i="7"/>
  <c r="BB71" i="7"/>
  <c r="BB63" i="7"/>
  <c r="BB82" i="7"/>
  <c r="BB69" i="7"/>
  <c r="AX125" i="7"/>
  <c r="AX114" i="7"/>
  <c r="BA206" i="7"/>
  <c r="BA207" i="7"/>
  <c r="EJ113" i="7"/>
  <c r="EJ114" i="7"/>
  <c r="BD207" i="7"/>
  <c r="BC43" i="7"/>
  <c r="EL43" i="7" s="1"/>
  <c r="BC66" i="7"/>
  <c r="BC73" i="7"/>
  <c r="EL73" i="7" s="1"/>
  <c r="BC76" i="7"/>
  <c r="EL76" i="7" s="1"/>
  <c r="BC10" i="7"/>
  <c r="BC71" i="7"/>
  <c r="BC70" i="7"/>
  <c r="BC64" i="7"/>
  <c r="BC67" i="7"/>
  <c r="EL67" i="7" s="1"/>
  <c r="BC65" i="7"/>
  <c r="BC58" i="7"/>
  <c r="EL58" i="7" s="1"/>
  <c r="BC31" i="7"/>
  <c r="EL31" i="7" s="1"/>
  <c r="BC77" i="7"/>
  <c r="EL77" i="7" s="1"/>
  <c r="BC27" i="7"/>
  <c r="EL27" i="7" s="1"/>
  <c r="BC74" i="7"/>
  <c r="EL74" i="7" s="1"/>
  <c r="BC78" i="7"/>
  <c r="EL78" i="7" s="1"/>
  <c r="BC42" i="7"/>
  <c r="EL42" i="7" s="1"/>
  <c r="BC57" i="7"/>
  <c r="EL57" i="7" s="1"/>
  <c r="BC32" i="7"/>
  <c r="EL32" i="7" s="1"/>
  <c r="BC63" i="7"/>
  <c r="BC82" i="7"/>
  <c r="BC69" i="7"/>
  <c r="EL69" i="7" s="1"/>
  <c r="BC125" i="7"/>
  <c r="EL119" i="7"/>
  <c r="BB207" i="7"/>
  <c r="BC207" i="7"/>
  <c r="BC206" i="7"/>
  <c r="BB205" i="7"/>
  <c r="BB206" i="7" s="1"/>
  <c r="EJ128" i="7"/>
  <c r="EJ123" i="7"/>
  <c r="EJ121" i="7"/>
  <c r="EJ119" i="7"/>
  <c r="EJ118" i="7"/>
  <c r="BB28" i="7"/>
  <c r="EK123" i="7"/>
  <c r="FR4" i="7"/>
  <c r="FR9" i="7"/>
  <c r="BD205" i="7"/>
  <c r="EL205" i="7" s="1"/>
  <c r="EM205" i="7" s="1"/>
  <c r="EN205" i="7" s="1"/>
  <c r="EO205" i="7" s="1"/>
  <c r="Q18" i="47"/>
  <c r="Q19" i="47"/>
  <c r="Q20" i="47"/>
  <c r="BC106" i="7"/>
  <c r="BC28" i="7"/>
  <c r="EL10" i="7" l="1"/>
  <c r="FQ10" i="7" s="1"/>
  <c r="BD115" i="7"/>
  <c r="AY115" i="7"/>
  <c r="AU115" i="7"/>
  <c r="BA115" i="7"/>
  <c r="BB115" i="7"/>
  <c r="BE115" i="7"/>
  <c r="EL82" i="7"/>
  <c r="BC115" i="7"/>
  <c r="BC147" i="7" s="1"/>
  <c r="AO115" i="7"/>
  <c r="AO213" i="7" s="1"/>
  <c r="AV115" i="7"/>
  <c r="AT115" i="7"/>
  <c r="AT132" i="7" s="1"/>
  <c r="EI82" i="7"/>
  <c r="AS115" i="7"/>
  <c r="AZ115" i="7"/>
  <c r="EK82" i="7"/>
  <c r="EJ69" i="7"/>
  <c r="EJ32" i="7"/>
  <c r="EI69" i="7"/>
  <c r="EK69" i="7"/>
  <c r="EJ82" i="7"/>
  <c r="EL63" i="7"/>
  <c r="EJ71" i="7"/>
  <c r="EL106" i="7"/>
  <c r="FQ106" i="7" s="1"/>
  <c r="EL125" i="7"/>
  <c r="EJ64" i="7"/>
  <c r="EM75" i="7"/>
  <c r="EQ75" i="7" s="1"/>
  <c r="ER75" i="7" s="1"/>
  <c r="ES75" i="7" s="1"/>
  <c r="ET75" i="7" s="1"/>
  <c r="FS75" i="7" s="1"/>
  <c r="EM36" i="7"/>
  <c r="EQ36" i="7" s="1"/>
  <c r="ER36" i="7" s="1"/>
  <c r="ES36" i="7" s="1"/>
  <c r="ET36" i="7" s="1"/>
  <c r="FS36" i="7" s="1"/>
  <c r="EL64" i="7"/>
  <c r="EK71" i="7"/>
  <c r="BF134" i="7"/>
  <c r="BF126" i="7"/>
  <c r="EL28" i="7"/>
  <c r="EL70" i="7"/>
  <c r="EL65" i="7"/>
  <c r="EL71" i="7"/>
  <c r="EL66" i="7"/>
  <c r="EJ70" i="7"/>
  <c r="EM38" i="7"/>
  <c r="EQ38" i="7" s="1"/>
  <c r="ER38" i="7" s="1"/>
  <c r="ES38" i="7" s="1"/>
  <c r="ET38" i="7" s="1"/>
  <c r="FS38" i="7" s="1"/>
  <c r="EM60" i="7"/>
  <c r="EQ60" i="7" s="1"/>
  <c r="ER60" i="7" s="1"/>
  <c r="ES60" i="7" s="1"/>
  <c r="ET60" i="7" s="1"/>
  <c r="FS60" i="7" s="1"/>
  <c r="EK63" i="7"/>
  <c r="EM63" i="7"/>
  <c r="BC149" i="7"/>
  <c r="BC146" i="7" s="1"/>
  <c r="EJ63" i="7"/>
  <c r="BC171" i="7"/>
  <c r="BC173" i="7" s="1"/>
  <c r="BC158" i="7"/>
  <c r="EK125" i="7"/>
  <c r="EK106" i="7"/>
  <c r="EK114" i="7"/>
  <c r="AN213" i="7"/>
  <c r="EK28" i="7"/>
  <c r="BD206" i="7"/>
  <c r="EP205" i="7"/>
  <c r="EQ205" i="7" s="1"/>
  <c r="BB169" i="7"/>
  <c r="BB160" i="7"/>
  <c r="BB156" i="7"/>
  <c r="BB150" i="7"/>
  <c r="AK32" i="7"/>
  <c r="AJ32" i="7"/>
  <c r="AI32" i="7"/>
  <c r="AH32" i="7"/>
  <c r="AG32" i="7"/>
  <c r="AF32" i="7"/>
  <c r="AE32" i="7"/>
  <c r="AD32" i="7"/>
  <c r="AC32" i="7"/>
  <c r="AB32" i="7"/>
  <c r="AK64" i="7"/>
  <c r="AJ64" i="7"/>
  <c r="AI64" i="7"/>
  <c r="AH64" i="7"/>
  <c r="AG64" i="7"/>
  <c r="AF64" i="7"/>
  <c r="AE64" i="7"/>
  <c r="AD64" i="7"/>
  <c r="AC64" i="7"/>
  <c r="AB64" i="7"/>
  <c r="AK43" i="7"/>
  <c r="AJ43" i="7"/>
  <c r="AI43" i="7"/>
  <c r="AE43" i="7"/>
  <c r="AK98" i="7"/>
  <c r="AJ98" i="7"/>
  <c r="AI98" i="7"/>
  <c r="AH98" i="7"/>
  <c r="AG98" i="7"/>
  <c r="AF98" i="7"/>
  <c r="AE98" i="7"/>
  <c r="AD98" i="7"/>
  <c r="AC98" i="7"/>
  <c r="AB98" i="7"/>
  <c r="ED96" i="7"/>
  <c r="AK96" i="7"/>
  <c r="AJ96" i="7"/>
  <c r="AI96" i="7"/>
  <c r="AH96" i="7"/>
  <c r="AG96" i="7"/>
  <c r="AF96" i="7"/>
  <c r="AE96" i="7"/>
  <c r="AD96" i="7"/>
  <c r="AC96" i="7"/>
  <c r="AB96" i="7"/>
  <c r="AK65" i="7"/>
  <c r="AJ65" i="7"/>
  <c r="AI65" i="7"/>
  <c r="AH65" i="7"/>
  <c r="AG65" i="7"/>
  <c r="AF65" i="7"/>
  <c r="AE65" i="7"/>
  <c r="AD65" i="7"/>
  <c r="AC65" i="7"/>
  <c r="AB65"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H70" i="7"/>
  <c r="I70" i="7"/>
  <c r="J70" i="7"/>
  <c r="ED63" i="7"/>
  <c r="AK63" i="7"/>
  <c r="AJ63" i="7"/>
  <c r="AI63" i="7"/>
  <c r="AH63" i="7"/>
  <c r="AG63" i="7"/>
  <c r="AF63" i="7"/>
  <c r="AE63" i="7"/>
  <c r="AD63" i="7"/>
  <c r="AC63" i="7"/>
  <c r="AB63" i="7"/>
  <c r="AK77" i="7"/>
  <c r="AJ77" i="7"/>
  <c r="AI77" i="7"/>
  <c r="AG77" i="7"/>
  <c r="AF77" i="7"/>
  <c r="AE77" i="7"/>
  <c r="AD77" i="7"/>
  <c r="AC77" i="7"/>
  <c r="AB77" i="7"/>
  <c r="AA77" i="7"/>
  <c r="Z77" i="7"/>
  <c r="Y77" i="7"/>
  <c r="X77" i="7"/>
  <c r="W77" i="7"/>
  <c r="V77" i="7"/>
  <c r="U77" i="7"/>
  <c r="T77" i="7"/>
  <c r="EF78" i="7"/>
  <c r="ED68" i="7"/>
  <c r="AK68" i="7"/>
  <c r="AJ68" i="7"/>
  <c r="AI68" i="7"/>
  <c r="AH68" i="7"/>
  <c r="AG68" i="7"/>
  <c r="AF68" i="7"/>
  <c r="AE68" i="7"/>
  <c r="AD68" i="7"/>
  <c r="AC68" i="7"/>
  <c r="AB68" i="7"/>
  <c r="AA68" i="7"/>
  <c r="EF76" i="7"/>
  <c r="EE76" i="7"/>
  <c r="ED76" i="7"/>
  <c r="EC76" i="7"/>
  <c r="EB76" i="7"/>
  <c r="EA76" i="7"/>
  <c r="DZ76" i="7"/>
  <c r="AK83" i="7"/>
  <c r="AJ83" i="7"/>
  <c r="AI83" i="7"/>
  <c r="AH83" i="7"/>
  <c r="AG83" i="7"/>
  <c r="AF83" i="7"/>
  <c r="AE83" i="7"/>
  <c r="AD83" i="7"/>
  <c r="AC83" i="7"/>
  <c r="AB83" i="7"/>
  <c r="AK8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DY66" i="7"/>
  <c r="F66" i="7" s="1"/>
  <c r="ED58" i="7"/>
  <c r="AK58" i="7"/>
  <c r="AJ58" i="7"/>
  <c r="AI58" i="7"/>
  <c r="AH58" i="7"/>
  <c r="AG58" i="7"/>
  <c r="AF58" i="7"/>
  <c r="AE58" i="7"/>
  <c r="AD58" i="7"/>
  <c r="AC58" i="7"/>
  <c r="AB58" i="7"/>
  <c r="ED42" i="7"/>
  <c r="AJ42" i="7"/>
  <c r="AI42" i="7"/>
  <c r="AH42" i="7"/>
  <c r="AG42" i="7"/>
  <c r="AF42" i="7"/>
  <c r="AE42" i="7"/>
  <c r="AD42" i="7"/>
  <c r="AC42" i="7"/>
  <c r="AB42" i="7"/>
  <c r="AA42"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DY81" i="7"/>
  <c r="F81"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DY74" i="7"/>
  <c r="F74" i="7" s="1"/>
  <c r="AK71" i="7"/>
  <c r="AJ71" i="7"/>
  <c r="AI71" i="7"/>
  <c r="AH71" i="7"/>
  <c r="AG71" i="7"/>
  <c r="AF71" i="7"/>
  <c r="AE71" i="7"/>
  <c r="AD71" i="7"/>
  <c r="AC71" i="7"/>
  <c r="AB71" i="7"/>
  <c r="AA71" i="7"/>
  <c r="Z71" i="7"/>
  <c r="Y71" i="7"/>
  <c r="X71" i="7"/>
  <c r="W71" i="7"/>
  <c r="V71" i="7"/>
  <c r="U71" i="7"/>
  <c r="T71" i="7"/>
  <c r="S71" i="7"/>
  <c r="R71" i="7"/>
  <c r="Q71" i="7"/>
  <c r="P71" i="7"/>
  <c r="O71" i="7"/>
  <c r="J71" i="7"/>
  <c r="I71" i="7"/>
  <c r="H71" i="7"/>
  <c r="G71" i="7"/>
  <c r="N71" i="7"/>
  <c r="M71" i="7"/>
  <c r="L71" i="7"/>
  <c r="K71"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AX106" i="7"/>
  <c r="AX115" i="7" s="1"/>
  <c r="AZ187" i="7"/>
  <c r="BA187" i="7" s="1"/>
  <c r="BB187" i="7" s="1"/>
  <c r="AZ184" i="7"/>
  <c r="BA184" i="7" s="1"/>
  <c r="BB184" i="7" s="1"/>
  <c r="AZ181" i="7"/>
  <c r="BA181" i="7" s="1"/>
  <c r="BB181" i="7" s="1"/>
  <c r="AZ180" i="7"/>
  <c r="BA180" i="7" s="1"/>
  <c r="BB180" i="7" s="1"/>
  <c r="AZ179" i="7"/>
  <c r="BA179" i="7" s="1"/>
  <c r="BB179" i="7" s="1"/>
  <c r="AZ178" i="7"/>
  <c r="BA178" i="7" s="1"/>
  <c r="BB178" i="7" s="1"/>
  <c r="AZ177" i="7"/>
  <c r="BA177" i="7" s="1"/>
  <c r="BB177" i="7" s="1"/>
  <c r="AZ176" i="7"/>
  <c r="BA176" i="7" s="1"/>
  <c r="BB176" i="7" s="1"/>
  <c r="AZ167" i="7"/>
  <c r="AZ160" i="7"/>
  <c r="AZ156" i="7"/>
  <c r="AZ150" i="7"/>
  <c r="AY185" i="7"/>
  <c r="AY201" i="7" s="1"/>
  <c r="AY167" i="7"/>
  <c r="AY160" i="7"/>
  <c r="AY156" i="7"/>
  <c r="AY150" i="7"/>
  <c r="AW114" i="7"/>
  <c r="AW115" i="7" s="1"/>
  <c r="BA167" i="7"/>
  <c r="BA163" i="7"/>
  <c r="BA156" i="7"/>
  <c r="BA160" i="7"/>
  <c r="BA150" i="7"/>
  <c r="AX149" i="7"/>
  <c r="EE142" i="7"/>
  <c r="EF142" i="7"/>
  <c r="EG142" i="7"/>
  <c r="EH142" i="7"/>
  <c r="EI142" i="7"/>
  <c r="EJ142" i="7"/>
  <c r="EK142" i="7"/>
  <c r="B38" i="21"/>
  <c r="B39" i="21" s="1"/>
  <c r="B40" i="21" s="1"/>
  <c r="B41" i="21" s="1"/>
  <c r="B42" i="21" s="1"/>
  <c r="B43" i="21" s="1"/>
  <c r="B44" i="21" s="1"/>
  <c r="B45" i="21" s="1"/>
  <c r="BA141" i="7"/>
  <c r="AZ141" i="7"/>
  <c r="AX116" i="7"/>
  <c r="AY119" i="7"/>
  <c r="AY118" i="7"/>
  <c r="BC141" i="7" s="1"/>
  <c r="AY116" i="7"/>
  <c r="AW167" i="7"/>
  <c r="AW160" i="7"/>
  <c r="AW125" i="7"/>
  <c r="EJ125" i="7" s="1"/>
  <c r="AV177" i="7"/>
  <c r="AW177" i="7" s="1"/>
  <c r="AV178" i="7"/>
  <c r="AW178" i="7" s="1"/>
  <c r="AV179" i="7"/>
  <c r="AW179" i="7" s="1"/>
  <c r="AV180" i="7"/>
  <c r="AW180" i="7" s="1"/>
  <c r="AV181" i="7"/>
  <c r="AW181" i="7" s="1"/>
  <c r="AV184" i="7"/>
  <c r="AW184" i="7" s="1"/>
  <c r="AU185" i="7"/>
  <c r="AU150" i="7"/>
  <c r="AU160" i="7"/>
  <c r="AU156" i="7"/>
  <c r="AV156" i="7"/>
  <c r="AV150" i="7"/>
  <c r="AV160" i="7"/>
  <c r="AW150" i="7"/>
  <c r="EJ42" i="7"/>
  <c r="EJ43" i="7"/>
  <c r="EJ76" i="7"/>
  <c r="EJ68" i="7"/>
  <c r="FS9" i="7"/>
  <c r="AT150" i="7"/>
  <c r="AT160" i="7"/>
  <c r="AT125" i="7"/>
  <c r="AW156" i="7"/>
  <c r="AT156" i="7"/>
  <c r="AW141" i="7"/>
  <c r="EI105" i="7"/>
  <c r="EI99" i="7"/>
  <c r="EI42" i="7"/>
  <c r="EI43" i="7"/>
  <c r="EI76" i="7"/>
  <c r="EI68" i="7"/>
  <c r="EH114" i="7"/>
  <c r="EI114" i="7" s="1"/>
  <c r="EJ23" i="7"/>
  <c r="EI80" i="7"/>
  <c r="EI128" i="7"/>
  <c r="EJ83" i="7"/>
  <c r="EJ81" i="7"/>
  <c r="EJ74" i="7"/>
  <c r="EJ66" i="7"/>
  <c r="EJ78" i="7"/>
  <c r="EJ58" i="7"/>
  <c r="EJ77" i="7"/>
  <c r="EJ96" i="7"/>
  <c r="EJ27" i="7"/>
  <c r="EJ65" i="7"/>
  <c r="AP69" i="7"/>
  <c r="AP115" i="7" s="1"/>
  <c r="EI63" i="7"/>
  <c r="EI70" i="7"/>
  <c r="EI64" i="7"/>
  <c r="EI65" i="7"/>
  <c r="EI27" i="7"/>
  <c r="EI96" i="7"/>
  <c r="EI77" i="7"/>
  <c r="EI58" i="7"/>
  <c r="EI78" i="7"/>
  <c r="EI66" i="7"/>
  <c r="EI74" i="7"/>
  <c r="EI81" i="7"/>
  <c r="EI23" i="7"/>
  <c r="EI83" i="7"/>
  <c r="AQ116" i="7"/>
  <c r="AR116" i="7"/>
  <c r="AQ118" i="7"/>
  <c r="AR118" i="7"/>
  <c r="AR141" i="7" s="1"/>
  <c r="AQ119" i="7"/>
  <c r="AR119" i="7"/>
  <c r="AR123" i="7"/>
  <c r="EI121" i="7" s="1"/>
  <c r="AS149" i="7"/>
  <c r="EE114" i="7"/>
  <c r="EE70" i="7"/>
  <c r="EH106" i="7"/>
  <c r="EI106" i="7" s="1"/>
  <c r="EI113" i="7"/>
  <c r="EH71" i="7"/>
  <c r="EG106" i="7"/>
  <c r="EG114" i="7"/>
  <c r="EF106" i="7"/>
  <c r="EF114" i="7"/>
  <c r="ED70" i="7"/>
  <c r="AI78" i="7"/>
  <c r="AI99" i="7"/>
  <c r="AI105" i="7"/>
  <c r="AI108" i="7"/>
  <c r="AI109" i="7"/>
  <c r="AI110" i="7"/>
  <c r="AI103" i="7"/>
  <c r="AI106" i="7"/>
  <c r="AI116" i="7"/>
  <c r="AH99" i="7"/>
  <c r="AH105" i="7"/>
  <c r="AH108" i="7"/>
  <c r="AH109" i="7"/>
  <c r="AH110" i="7"/>
  <c r="AH103" i="7"/>
  <c r="AH106" i="7"/>
  <c r="AD116" i="7"/>
  <c r="AC116" i="7"/>
  <c r="AB116"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5" i="7"/>
  <c r="AQ150" i="7"/>
  <c r="AQ160" i="7"/>
  <c r="AN117" i="7"/>
  <c r="AN130" i="7" s="1"/>
  <c r="AN123" i="7"/>
  <c r="AM123" i="7"/>
  <c r="AR185" i="7"/>
  <c r="AR150" i="7"/>
  <c r="AR160" i="7"/>
  <c r="EJ57" i="7"/>
  <c r="EI57" i="7"/>
  <c r="EI71" i="7"/>
  <c r="AT141" i="7"/>
  <c r="AS141" i="7"/>
  <c r="AX141" i="7"/>
  <c r="AN132" i="7"/>
  <c r="AE119" i="7"/>
  <c r="AF119" i="7"/>
  <c r="AE118" i="7"/>
  <c r="AO128" i="7"/>
  <c r="AN131"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3" i="7"/>
  <c r="AQ3" i="22"/>
  <c r="AP3" i="22"/>
  <c r="N3" i="22"/>
  <c r="M3" i="22"/>
  <c r="L3" i="22"/>
  <c r="K3" i="22"/>
  <c r="AO3" i="22"/>
  <c r="AN3" i="22"/>
  <c r="AM3" i="22"/>
  <c r="AL3" i="22"/>
  <c r="AK3" i="22"/>
  <c r="AJ3" i="22"/>
  <c r="AI3" i="22"/>
  <c r="AH3" i="22"/>
  <c r="AG3" i="22"/>
  <c r="AF3" i="22"/>
  <c r="AE3" i="22"/>
  <c r="AD3" i="22"/>
  <c r="AI118" i="7"/>
  <c r="Y118" i="7"/>
  <c r="X128" i="7"/>
  <c r="Y128" i="7" s="1"/>
  <c r="Z128" i="7" s="1"/>
  <c r="AE126" i="7"/>
  <c r="AE135" i="7" s="1"/>
  <c r="AF126" i="7"/>
  <c r="AF135" i="7" s="1"/>
  <c r="AG126" i="7"/>
  <c r="AG135" i="7" s="1"/>
  <c r="AH126" i="7"/>
  <c r="AH135" i="7" s="1"/>
  <c r="AE134" i="7"/>
  <c r="AF134" i="7"/>
  <c r="AG134" i="7"/>
  <c r="AH134" i="7"/>
  <c r="EC117" i="7"/>
  <c r="EC120" i="7" s="1"/>
  <c r="EC133" i="7" s="1"/>
  <c r="EB117" i="7"/>
  <c r="EB120" i="7" s="1"/>
  <c r="EA117" i="7"/>
  <c r="EA120" i="7" s="1"/>
  <c r="DZ117" i="7"/>
  <c r="DZ120" i="7" s="1"/>
  <c r="DY117" i="7"/>
  <c r="DY130" i="7" s="1"/>
  <c r="DX117" i="7"/>
  <c r="DX120" i="7" s="1"/>
  <c r="DW117" i="7"/>
  <c r="DW130" i="7" s="1"/>
  <c r="DV117" i="7"/>
  <c r="DV120" i="7" s="1"/>
  <c r="EC131" i="7"/>
  <c r="EB131" i="7"/>
  <c r="EA131" i="7"/>
  <c r="DZ131" i="7"/>
  <c r="DY131" i="7"/>
  <c r="DX131" i="7"/>
  <c r="DW131" i="7"/>
  <c r="DV131" i="7"/>
  <c r="BB141" i="7"/>
  <c r="AO131" i="7" l="1"/>
  <c r="AO132" i="7"/>
  <c r="AO117" i="7"/>
  <c r="AO120" i="7" s="1"/>
  <c r="AO133" i="7" s="1"/>
  <c r="O115" i="7"/>
  <c r="AA115" i="7"/>
  <c r="AA117" i="7" s="1"/>
  <c r="AA120" i="7" s="1"/>
  <c r="G115" i="7"/>
  <c r="S115" i="7"/>
  <c r="R115" i="7"/>
  <c r="AE115" i="7"/>
  <c r="AE117" i="7" s="1"/>
  <c r="AE120" i="7" s="1"/>
  <c r="AE133" i="7" s="1"/>
  <c r="N115" i="7"/>
  <c r="Z115" i="7"/>
  <c r="Z117" i="7" s="1"/>
  <c r="Z130" i="7" s="1"/>
  <c r="F115" i="7"/>
  <c r="AT158" i="7"/>
  <c r="P115" i="7"/>
  <c r="AB115" i="7"/>
  <c r="AB117" i="7" s="1"/>
  <c r="AB120" i="7" s="1"/>
  <c r="AK115" i="7"/>
  <c r="Q115" i="7"/>
  <c r="AC115" i="7"/>
  <c r="AC117" i="7" s="1"/>
  <c r="AC120" i="7" s="1"/>
  <c r="AD115" i="7"/>
  <c r="AD117" i="7" s="1"/>
  <c r="AD120" i="7" s="1"/>
  <c r="AT131" i="7"/>
  <c r="H115" i="7"/>
  <c r="T115" i="7"/>
  <c r="T117" i="7" s="1"/>
  <c r="T120" i="7" s="1"/>
  <c r="T124" i="7" s="1"/>
  <c r="T126" i="7" s="1"/>
  <c r="AF115" i="7"/>
  <c r="AF117" i="7" s="1"/>
  <c r="AF120" i="7" s="1"/>
  <c r="AF133" i="7" s="1"/>
  <c r="I115" i="7"/>
  <c r="U115" i="7"/>
  <c r="AG115" i="7"/>
  <c r="AF132" i="7" s="1"/>
  <c r="J115" i="7"/>
  <c r="V115" i="7"/>
  <c r="AH115" i="7"/>
  <c r="AH117" i="7" s="1"/>
  <c r="AH120" i="7" s="1"/>
  <c r="AH133" i="7" s="1"/>
  <c r="K115" i="7"/>
  <c r="W115" i="7"/>
  <c r="W117" i="7" s="1"/>
  <c r="W130" i="7" s="1"/>
  <c r="AI115" i="7"/>
  <c r="AI117" i="7" s="1"/>
  <c r="AI120" i="7" s="1"/>
  <c r="L115" i="7"/>
  <c r="X115" i="7"/>
  <c r="X117" i="7" s="1"/>
  <c r="X130" i="7" s="1"/>
  <c r="AJ115" i="7"/>
  <c r="AN139" i="7" s="1"/>
  <c r="M115" i="7"/>
  <c r="Y115" i="7"/>
  <c r="Y117" i="7" s="1"/>
  <c r="Y130" i="7" s="1"/>
  <c r="T13" i="40"/>
  <c r="S15" i="40"/>
  <c r="C3" i="24"/>
  <c r="D11" i="25"/>
  <c r="DZ69" i="7"/>
  <c r="EA69" i="7"/>
  <c r="EB69" i="7"/>
  <c r="EC69" i="7"/>
  <c r="ED69" i="7"/>
  <c r="EE69" i="7"/>
  <c r="EF69" i="7"/>
  <c r="BF135" i="7"/>
  <c r="BF175" i="7"/>
  <c r="BM126" i="7"/>
  <c r="EL115" i="7"/>
  <c r="E3" i="24"/>
  <c r="EN142" i="7"/>
  <c r="BB149" i="7"/>
  <c r="BB146" i="7" s="1"/>
  <c r="BB213" i="7"/>
  <c r="BF139" i="7"/>
  <c r="FQ69" i="7"/>
  <c r="FQ64" i="7"/>
  <c r="AU158" i="7"/>
  <c r="AZ149" i="7"/>
  <c r="AZ146" i="7" s="1"/>
  <c r="AQ132" i="7"/>
  <c r="BC213" i="7"/>
  <c r="BD117" i="7"/>
  <c r="BD130" i="7" s="1"/>
  <c r="BD131" i="7"/>
  <c r="BD147" i="7"/>
  <c r="BD132" i="7"/>
  <c r="FQ92" i="7"/>
  <c r="BB208" i="7"/>
  <c r="BB209" i="7" s="1"/>
  <c r="BB131" i="7"/>
  <c r="EK115" i="7"/>
  <c r="BB132" i="7"/>
  <c r="AP117" i="7"/>
  <c r="AQ141" i="7"/>
  <c r="AQ131" i="7"/>
  <c r="AX146" i="7"/>
  <c r="EK119" i="7"/>
  <c r="AY132" i="7"/>
  <c r="AX131" i="7"/>
  <c r="AX132" i="7"/>
  <c r="AY131" i="7"/>
  <c r="EK118" i="7"/>
  <c r="BC131" i="7"/>
  <c r="BC132" i="7"/>
  <c r="AM213" i="7"/>
  <c r="AW158" i="7"/>
  <c r="AX213" i="7"/>
  <c r="EJ99" i="7"/>
  <c r="BA208" i="7"/>
  <c r="BA209" i="7" s="1"/>
  <c r="BD139" i="7"/>
  <c r="BC117" i="7"/>
  <c r="BC208" i="7"/>
  <c r="AY141" i="7"/>
  <c r="FS13" i="7"/>
  <c r="FR13" i="7"/>
  <c r="EM64" i="7"/>
  <c r="FR114" i="7"/>
  <c r="FQ73" i="7"/>
  <c r="FQ67" i="7"/>
  <c r="EL142" i="7"/>
  <c r="FQ5" i="7"/>
  <c r="BB117" i="7"/>
  <c r="BB130" i="7" s="1"/>
  <c r="ER205" i="7"/>
  <c r="FQ111" i="7"/>
  <c r="EQ10" i="7"/>
  <c r="EH115" i="7"/>
  <c r="EH132" i="7" s="1"/>
  <c r="EC74" i="7"/>
  <c r="EI110" i="7"/>
  <c r="AV158" i="7"/>
  <c r="AU149" i="7"/>
  <c r="AU146" i="7" s="1"/>
  <c r="AY158" i="7"/>
  <c r="EA71" i="7"/>
  <c r="EB71" i="7"/>
  <c r="EE71" i="7"/>
  <c r="EF71" i="7"/>
  <c r="EA74" i="7"/>
  <c r="EE74" i="7"/>
  <c r="EE93" i="7"/>
  <c r="AY149" i="7"/>
  <c r="AY146" i="7" s="1"/>
  <c r="BA158" i="7"/>
  <c r="EC124" i="7"/>
  <c r="EC126" i="7" s="1"/>
  <c r="EC135" i="7" s="1"/>
  <c r="EC130" i="7"/>
  <c r="AU141" i="7"/>
  <c r="AZ185" i="7"/>
  <c r="AZ201" i="7" s="1"/>
  <c r="EG115" i="7"/>
  <c r="EG132" i="7" s="1"/>
  <c r="AW149" i="7"/>
  <c r="AW146" i="7" s="1"/>
  <c r="AT149" i="7"/>
  <c r="AV149" i="7"/>
  <c r="AV146" i="7" s="1"/>
  <c r="EJ109" i="7"/>
  <c r="EI103" i="7"/>
  <c r="EJ105" i="7"/>
  <c r="DZ71" i="7"/>
  <c r="EC71" i="7"/>
  <c r="ED71" i="7"/>
  <c r="DZ74" i="7"/>
  <c r="EB74" i="7"/>
  <c r="ED74" i="7"/>
  <c r="EF74" i="7"/>
  <c r="EF93" i="7"/>
  <c r="AZ158" i="7"/>
  <c r="DX130" i="7"/>
  <c r="AV185" i="7"/>
  <c r="AN120" i="7"/>
  <c r="AN133" i="7" s="1"/>
  <c r="AV141" i="7"/>
  <c r="EI109" i="7"/>
  <c r="EJ110" i="7"/>
  <c r="EJ108" i="7"/>
  <c r="AW171" i="7"/>
  <c r="T15" i="40"/>
  <c r="U13" i="40"/>
  <c r="N13" i="40"/>
  <c r="M5" i="40"/>
  <c r="M7" i="40" s="1"/>
  <c r="AY171" i="7"/>
  <c r="AM131" i="7"/>
  <c r="EJ103" i="7"/>
  <c r="FQ63" i="7"/>
  <c r="BA171" i="7"/>
  <c r="AZ171" i="7"/>
  <c r="EI108" i="7"/>
  <c r="AR149" i="7"/>
  <c r="AQ149" i="7"/>
  <c r="EI119" i="7"/>
  <c r="BA149" i="7"/>
  <c r="BA146" i="7" s="1"/>
  <c r="BB185" i="7"/>
  <c r="BB201" i="7" s="1"/>
  <c r="BB158" i="7"/>
  <c r="EB130" i="7"/>
  <c r="DV130" i="7"/>
  <c r="EI118" i="7"/>
  <c r="DZ130" i="7"/>
  <c r="BB171" i="7"/>
  <c r="BB173" i="7" s="1"/>
  <c r="BB147" i="7"/>
  <c r="AQ117" i="7"/>
  <c r="DW120" i="7"/>
  <c r="DZ80" i="7"/>
  <c r="EC81" i="7"/>
  <c r="ED80" i="7"/>
  <c r="EF80" i="7"/>
  <c r="EC77" i="7"/>
  <c r="EF63" i="7"/>
  <c r="EB23" i="7"/>
  <c r="EF23" i="7"/>
  <c r="EA81" i="7"/>
  <c r="EB81" i="7"/>
  <c r="AU117" i="7"/>
  <c r="AU130" i="7" s="1"/>
  <c r="DZ23" i="7"/>
  <c r="EA23" i="7"/>
  <c r="EE42" i="7"/>
  <c r="EF58" i="7"/>
  <c r="EE77" i="7"/>
  <c r="EF77" i="7"/>
  <c r="EE63" i="7"/>
  <c r="EE96" i="7"/>
  <c r="EF96" i="7"/>
  <c r="EF98" i="7"/>
  <c r="ED23" i="7"/>
  <c r="EE23" i="7"/>
  <c r="EE81" i="7"/>
  <c r="EF81" i="7"/>
  <c r="EE58" i="7"/>
  <c r="EB80" i="7"/>
  <c r="EC80" i="7"/>
  <c r="EE68" i="7"/>
  <c r="EF68" i="7"/>
  <c r="K7" i="19"/>
  <c r="BA185" i="7"/>
  <c r="BA201" i="7" s="1"/>
  <c r="DY120" i="7"/>
  <c r="EA130" i="7"/>
  <c r="DZ93" i="7"/>
  <c r="EA93" i="7"/>
  <c r="EB93" i="7"/>
  <c r="EC93" i="7"/>
  <c r="ED93" i="7"/>
  <c r="EC23" i="7"/>
  <c r="DZ81" i="7"/>
  <c r="ED81" i="7"/>
  <c r="EF42" i="7"/>
  <c r="EA80" i="7"/>
  <c r="EE80" i="7"/>
  <c r="ED77" i="7"/>
  <c r="EE98" i="7"/>
  <c r="EA124" i="7"/>
  <c r="EA133" i="7"/>
  <c r="AW185" i="7"/>
  <c r="DV133" i="7"/>
  <c r="DV124" i="7"/>
  <c r="DX133" i="7"/>
  <c r="DX124" i="7"/>
  <c r="DZ124" i="7"/>
  <c r="DZ133" i="7"/>
  <c r="EB133" i="7"/>
  <c r="EB124" i="7"/>
  <c r="AO124" i="7" l="1"/>
  <c r="AO134" i="7" s="1"/>
  <c r="AO130" i="7"/>
  <c r="W120" i="7"/>
  <c r="Z120" i="7"/>
  <c r="X120" i="7"/>
  <c r="Y120" i="7"/>
  <c r="BM127" i="7"/>
  <c r="BM135" i="7"/>
  <c r="EK132" i="7"/>
  <c r="EL132" i="7"/>
  <c r="EN121" i="7"/>
  <c r="EL131" i="7"/>
  <c r="AG131" i="7"/>
  <c r="EM74" i="7"/>
  <c r="EQ74" i="7" s="1"/>
  <c r="EM76" i="7"/>
  <c r="EQ76" i="7" s="1"/>
  <c r="EO142" i="7"/>
  <c r="EM33" i="7"/>
  <c r="EQ33" i="7" s="1"/>
  <c r="ER33" i="7" s="1"/>
  <c r="ES33" i="7" s="1"/>
  <c r="ET33" i="7" s="1"/>
  <c r="FS33" i="7" s="1"/>
  <c r="EM57" i="7"/>
  <c r="EQ57" i="7" s="1"/>
  <c r="FR28" i="7"/>
  <c r="EM31" i="7"/>
  <c r="EQ31" i="7" s="1"/>
  <c r="EM142" i="7"/>
  <c r="BB210" i="7"/>
  <c r="EL139" i="7"/>
  <c r="EH131" i="7"/>
  <c r="EH139" i="7"/>
  <c r="EQ64" i="7"/>
  <c r="ER64" i="7" s="1"/>
  <c r="ES64" i="7" s="1"/>
  <c r="ET64" i="7" s="1"/>
  <c r="BC130" i="7"/>
  <c r="EM58" i="7"/>
  <c r="EM65" i="7"/>
  <c r="EQ65" i="7" s="1"/>
  <c r="ER65" i="7" s="1"/>
  <c r="ES65" i="7" s="1"/>
  <c r="ET65" i="7" s="1"/>
  <c r="EM67" i="7"/>
  <c r="EQ67" i="7" s="1"/>
  <c r="ER67" i="7" s="1"/>
  <c r="ES67" i="7" s="1"/>
  <c r="ET67" i="7" s="1"/>
  <c r="FQ65" i="7"/>
  <c r="EM70" i="7"/>
  <c r="AF131" i="7"/>
  <c r="AE131" i="7"/>
  <c r="FR92" i="7"/>
  <c r="FQ28" i="7"/>
  <c r="AQ120" i="7"/>
  <c r="AQ130" i="7"/>
  <c r="EC127" i="7"/>
  <c r="AG117" i="7"/>
  <c r="AG120" i="7" s="1"/>
  <c r="AG133" i="7" s="1"/>
  <c r="AO139" i="7"/>
  <c r="AK132" i="7"/>
  <c r="AK213" i="7"/>
  <c r="AK131" i="7"/>
  <c r="AK117" i="7"/>
  <c r="AL132" i="7"/>
  <c r="AL213" i="7"/>
  <c r="AL131" i="7"/>
  <c r="AL117" i="7"/>
  <c r="AU132" i="7"/>
  <c r="AU131" i="7"/>
  <c r="AS213" i="7"/>
  <c r="AS132" i="7"/>
  <c r="AS131" i="7"/>
  <c r="AP131" i="7"/>
  <c r="AP213" i="7"/>
  <c r="AP139" i="7"/>
  <c r="AR132" i="7"/>
  <c r="AR213" i="7"/>
  <c r="AR131" i="7"/>
  <c r="AU139" i="7"/>
  <c r="AQ213" i="7"/>
  <c r="AQ139" i="7"/>
  <c r="AR117" i="7"/>
  <c r="AV139" i="7"/>
  <c r="AR139" i="7"/>
  <c r="AS117" i="7"/>
  <c r="AS139" i="7"/>
  <c r="AW139" i="7"/>
  <c r="AT117" i="7"/>
  <c r="AT213" i="7"/>
  <c r="AT139" i="7"/>
  <c r="AY139" i="7"/>
  <c r="AU213" i="7"/>
  <c r="AZ139" i="7"/>
  <c r="AZ131" i="7"/>
  <c r="AZ132" i="7"/>
  <c r="BA131" i="7"/>
  <c r="BA132" i="7"/>
  <c r="AV213" i="7"/>
  <c r="AV132" i="7"/>
  <c r="AV131" i="7"/>
  <c r="AX139" i="7"/>
  <c r="AW131" i="7"/>
  <c r="AW132" i="7"/>
  <c r="EK131" i="7"/>
  <c r="FQ77" i="7"/>
  <c r="FQ43" i="7"/>
  <c r="AE132" i="7"/>
  <c r="AV117" i="7"/>
  <c r="AZ213" i="7"/>
  <c r="FQ66" i="7"/>
  <c r="EQ66" i="7"/>
  <c r="BC209" i="7"/>
  <c r="BC210" i="7"/>
  <c r="FQ74" i="7"/>
  <c r="BA213" i="7"/>
  <c r="BB120" i="7"/>
  <c r="BB133" i="7" s="1"/>
  <c r="FQ112" i="7"/>
  <c r="AY213" i="7"/>
  <c r="AW213" i="7"/>
  <c r="FQ32" i="7"/>
  <c r="FQ57" i="7"/>
  <c r="FQ78" i="7"/>
  <c r="FQ31" i="7"/>
  <c r="FQ82" i="7"/>
  <c r="FQ76" i="7"/>
  <c r="FQ70" i="7"/>
  <c r="FR10" i="7"/>
  <c r="FS114" i="7"/>
  <c r="EH117" i="7"/>
  <c r="EH130" i="7" s="1"/>
  <c r="BA139" i="7"/>
  <c r="BA147" i="7"/>
  <c r="ES205" i="7"/>
  <c r="BC139" i="7"/>
  <c r="EI115" i="7"/>
  <c r="EI132" i="7" s="1"/>
  <c r="EJ115" i="7"/>
  <c r="ED115" i="7"/>
  <c r="ED132" i="7" s="1"/>
  <c r="EC134" i="7"/>
  <c r="BA117" i="7"/>
  <c r="BA130" i="7" s="1"/>
  <c r="AM132" i="7"/>
  <c r="AP132" i="7"/>
  <c r="EG117" i="7"/>
  <c r="EG120" i="7" s="1"/>
  <c r="EG133" i="7" s="1"/>
  <c r="EG131" i="7"/>
  <c r="AH131" i="7"/>
  <c r="AN124" i="7"/>
  <c r="AN126" i="7" s="1"/>
  <c r="AY117" i="7"/>
  <c r="AW147" i="7"/>
  <c r="AZ147" i="7"/>
  <c r="AZ117" i="7"/>
  <c r="AZ130" i="7" s="1"/>
  <c r="AM117" i="7"/>
  <c r="AM120" i="7" s="1"/>
  <c r="AY147" i="7"/>
  <c r="AW117" i="7"/>
  <c r="AW130" i="7" s="1"/>
  <c r="AL139" i="7"/>
  <c r="O13" i="40"/>
  <c r="O5" i="40" s="1"/>
  <c r="O7" i="40" s="1"/>
  <c r="N5" i="40"/>
  <c r="N7" i="40" s="1"/>
  <c r="V13" i="40"/>
  <c r="U15" i="40"/>
  <c r="AG132" i="7"/>
  <c r="EE115" i="7"/>
  <c r="EE132" i="7" s="1"/>
  <c r="AU120" i="7"/>
  <c r="EF115" i="7"/>
  <c r="AH132" i="7"/>
  <c r="AM139" i="7"/>
  <c r="DW133" i="7"/>
  <c r="DW124" i="7"/>
  <c r="AP120" i="7"/>
  <c r="AP130" i="7"/>
  <c r="AX117" i="7"/>
  <c r="AX130" i="7" s="1"/>
  <c r="BB139" i="7"/>
  <c r="DY124" i="7"/>
  <c r="DY133" i="7"/>
  <c r="EK213" i="7"/>
  <c r="EB126" i="7"/>
  <c r="EB134" i="7"/>
  <c r="DX126" i="7"/>
  <c r="DX134" i="7"/>
  <c r="DV134" i="7"/>
  <c r="DV126" i="7"/>
  <c r="DZ126" i="7"/>
  <c r="DZ134" i="7"/>
  <c r="EA134" i="7"/>
  <c r="EA126" i="7"/>
  <c r="AO126" i="7" l="1"/>
  <c r="AO127" i="7" s="1"/>
  <c r="FS10" i="7"/>
  <c r="EK139" i="7"/>
  <c r="EJ132" i="7"/>
  <c r="EG139" i="7"/>
  <c r="EF132" i="7"/>
  <c r="BM146" i="7"/>
  <c r="BN124" i="7"/>
  <c r="BN134" i="7" s="1"/>
  <c r="EQ142" i="7"/>
  <c r="EM23" i="7"/>
  <c r="EM27" i="7"/>
  <c r="EQ27" i="7" s="1"/>
  <c r="FR65" i="7"/>
  <c r="FR67" i="7"/>
  <c r="ED117" i="7"/>
  <c r="ED139" i="7"/>
  <c r="FR64" i="7"/>
  <c r="EE117" i="7"/>
  <c r="EE130" i="7" s="1"/>
  <c r="EE139" i="7"/>
  <c r="EJ213" i="7"/>
  <c r="EJ139" i="7"/>
  <c r="EF117" i="7"/>
  <c r="EF120" i="7" s="1"/>
  <c r="EF139" i="7"/>
  <c r="EI213" i="7"/>
  <c r="EI139" i="7"/>
  <c r="EM77" i="7"/>
  <c r="EQ77" i="7" s="1"/>
  <c r="FR77" i="7" s="1"/>
  <c r="EM42" i="7"/>
  <c r="EQ42" i="7" s="1"/>
  <c r="ER42" i="7" s="1"/>
  <c r="ES42" i="7" s="1"/>
  <c r="ET42" i="7" s="1"/>
  <c r="EM73" i="7"/>
  <c r="EQ73" i="7" s="1"/>
  <c r="ER73" i="7" s="1"/>
  <c r="ES73" i="7" s="1"/>
  <c r="ET73" i="7" s="1"/>
  <c r="EQ70" i="7"/>
  <c r="ER70" i="7" s="1"/>
  <c r="ES70" i="7" s="1"/>
  <c r="ET70" i="7" s="1"/>
  <c r="FS28" i="7"/>
  <c r="BB124" i="7"/>
  <c r="BB134"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4" i="7"/>
  <c r="AQ133" i="7"/>
  <c r="EH120" i="7"/>
  <c r="EH133" i="7" s="1"/>
  <c r="AK120" i="7"/>
  <c r="AK130" i="7"/>
  <c r="AL120" i="7"/>
  <c r="AL130" i="7"/>
  <c r="AU124" i="7"/>
  <c r="AU134" i="7" s="1"/>
  <c r="AU133" i="7"/>
  <c r="AT120" i="7"/>
  <c r="AT130" i="7"/>
  <c r="AS120" i="7"/>
  <c r="AS130" i="7"/>
  <c r="AR120" i="7"/>
  <c r="AR130" i="7"/>
  <c r="EK117" i="7"/>
  <c r="EK120" i="7" s="1"/>
  <c r="AY130" i="7"/>
  <c r="AV120" i="7"/>
  <c r="AV130" i="7"/>
  <c r="ER74" i="7"/>
  <c r="ES74" i="7" s="1"/>
  <c r="ET74" i="7" s="1"/>
  <c r="FS74" i="7" s="1"/>
  <c r="FR74" i="7"/>
  <c r="FQ71" i="7"/>
  <c r="BA210" i="7"/>
  <c r="FR66" i="7"/>
  <c r="ER66" i="7"/>
  <c r="ES66" i="7" s="1"/>
  <c r="ET66" i="7" s="1"/>
  <c r="FS66" i="7" s="1"/>
  <c r="AW120" i="7"/>
  <c r="AW133" i="7" s="1"/>
  <c r="EJ117" i="7"/>
  <c r="EJ120" i="7" s="1"/>
  <c r="EJ124" i="7" s="1"/>
  <c r="EJ126" i="7" s="1"/>
  <c r="EJ127" i="7" s="1"/>
  <c r="EJ215" i="7" s="1"/>
  <c r="EQ58" i="7"/>
  <c r="FQ58" i="7"/>
  <c r="FR111" i="7"/>
  <c r="FQ42" i="7"/>
  <c r="FQ27" i="7"/>
  <c r="FQ113" i="7"/>
  <c r="ET114" i="7"/>
  <c r="EL207" i="7"/>
  <c r="EL206" i="7"/>
  <c r="ER76" i="7"/>
  <c r="ES76" i="7" s="1"/>
  <c r="ET76" i="7" s="1"/>
  <c r="FR76" i="7"/>
  <c r="FS92" i="7"/>
  <c r="ER31" i="7"/>
  <c r="ES31" i="7" s="1"/>
  <c r="ET31" i="7" s="1"/>
  <c r="FS31" i="7" s="1"/>
  <c r="FR31" i="7"/>
  <c r="ER57" i="7"/>
  <c r="ES57" i="7" s="1"/>
  <c r="ET57" i="7" s="1"/>
  <c r="FR57" i="7"/>
  <c r="EJ131" i="7"/>
  <c r="EI117" i="7"/>
  <c r="EI131" i="7"/>
  <c r="ED131" i="7"/>
  <c r="BA120" i="7"/>
  <c r="BA133" i="7" s="1"/>
  <c r="AZ120" i="7"/>
  <c r="AZ133" i="7" s="1"/>
  <c r="ET205" i="7"/>
  <c r="AY120" i="7"/>
  <c r="AY133" i="7" s="1"/>
  <c r="BC120" i="7"/>
  <c r="BC133" i="7" s="1"/>
  <c r="AN134" i="7"/>
  <c r="EF131" i="7"/>
  <c r="AM130" i="7"/>
  <c r="EG124" i="7"/>
  <c r="EG126" i="7" s="1"/>
  <c r="EG127" i="7" s="1"/>
  <c r="EG130" i="7"/>
  <c r="EE131" i="7"/>
  <c r="V15" i="40"/>
  <c r="W13" i="40"/>
  <c r="DW134" i="7"/>
  <c r="DW126" i="7"/>
  <c r="AX120" i="7"/>
  <c r="AX133" i="7" s="1"/>
  <c r="AP124" i="7"/>
  <c r="AP133" i="7"/>
  <c r="DY126" i="7"/>
  <c r="DY134" i="7"/>
  <c r="AN135" i="7"/>
  <c r="AN127" i="7"/>
  <c r="AM133" i="7"/>
  <c r="AM124" i="7"/>
  <c r="DX127" i="7"/>
  <c r="DX135" i="7"/>
  <c r="EB127" i="7"/>
  <c r="EB135" i="7"/>
  <c r="EA135" i="7"/>
  <c r="EA127" i="7"/>
  <c r="DZ135" i="7"/>
  <c r="DZ127" i="7"/>
  <c r="DV127" i="7"/>
  <c r="DV135" i="7"/>
  <c r="AO135" i="7" l="1"/>
  <c r="FS70" i="7"/>
  <c r="EN130" i="7"/>
  <c r="EN132" i="7"/>
  <c r="ED130" i="7"/>
  <c r="ED120" i="7"/>
  <c r="ED124" i="7" s="1"/>
  <c r="BN126" i="7"/>
  <c r="BN135" i="7" s="1"/>
  <c r="EP142" i="7"/>
  <c r="EH124" i="7"/>
  <c r="EH134" i="7" s="1"/>
  <c r="AU126" i="7"/>
  <c r="AU135" i="7" s="1"/>
  <c r="FR5" i="7"/>
  <c r="EF130" i="7"/>
  <c r="BB126" i="7"/>
  <c r="BB135" i="7" s="1"/>
  <c r="EM71" i="7"/>
  <c r="FR70" i="7"/>
  <c r="FR73" i="7"/>
  <c r="EE120" i="7"/>
  <c r="EE124" i="7" s="1"/>
  <c r="FR43" i="7"/>
  <c r="BK139" i="7"/>
  <c r="ER77" i="7"/>
  <c r="ES77" i="7" s="1"/>
  <c r="ET77" i="7" s="1"/>
  <c r="BA124" i="7"/>
  <c r="BA134" i="7" s="1"/>
  <c r="BE132" i="7"/>
  <c r="BE147" i="7"/>
  <c r="BE139" i="7"/>
  <c r="BE131" i="7"/>
  <c r="BE117" i="7"/>
  <c r="EL117" i="7" s="1"/>
  <c r="AQ134" i="7"/>
  <c r="AI126" i="7"/>
  <c r="AQ126" i="7"/>
  <c r="BE213" i="7"/>
  <c r="BF127" i="7"/>
  <c r="BF213" i="7"/>
  <c r="AK124" i="7"/>
  <c r="AK133" i="7"/>
  <c r="AL124" i="7"/>
  <c r="AL133" i="7"/>
  <c r="AT133" i="7"/>
  <c r="AT124" i="7"/>
  <c r="AS124" i="7"/>
  <c r="AS133" i="7"/>
  <c r="AR124" i="7"/>
  <c r="AR133" i="7"/>
  <c r="AV124" i="7"/>
  <c r="AV133" i="7"/>
  <c r="EK124" i="7"/>
  <c r="EK126" i="7" s="1"/>
  <c r="EK127" i="7" s="1"/>
  <c r="EK116" i="7"/>
  <c r="AZ124" i="7"/>
  <c r="AZ134" i="7" s="1"/>
  <c r="AY124" i="7"/>
  <c r="AY134" i="7" s="1"/>
  <c r="EJ130" i="7"/>
  <c r="EJ133" i="7"/>
  <c r="AW124" i="7"/>
  <c r="AW134" i="7" s="1"/>
  <c r="BC124" i="7"/>
  <c r="BC134" i="7" s="1"/>
  <c r="EM207" i="7"/>
  <c r="EM206" i="7"/>
  <c r="EG134" i="7"/>
  <c r="FQ120" i="7"/>
  <c r="FR113" i="7"/>
  <c r="ER27" i="7"/>
  <c r="ES27" i="7" s="1"/>
  <c r="ET27" i="7" s="1"/>
  <c r="FS27" i="7" s="1"/>
  <c r="FR27" i="7"/>
  <c r="FS111" i="7"/>
  <c r="ER58" i="7"/>
  <c r="ES58" i="7" s="1"/>
  <c r="ET58" i="7" s="1"/>
  <c r="FR58" i="7"/>
  <c r="EI120" i="7"/>
  <c r="EI130" i="7"/>
  <c r="EG135" i="7"/>
  <c r="AX124" i="7"/>
  <c r="AX134" i="7" s="1"/>
  <c r="W15" i="40"/>
  <c r="X13" i="40"/>
  <c r="DW127" i="7"/>
  <c r="DW135" i="7"/>
  <c r="AP125" i="7"/>
  <c r="AP134" i="7" s="1"/>
  <c r="AM134" i="7"/>
  <c r="AM126" i="7"/>
  <c r="DY135" i="7"/>
  <c r="DY127" i="7"/>
  <c r="EJ135" i="7"/>
  <c r="EF133" i="7"/>
  <c r="EF124" i="7"/>
  <c r="AU127" i="7" l="1"/>
  <c r="AU215" i="7" s="1"/>
  <c r="ED133" i="7"/>
  <c r="EL130" i="7"/>
  <c r="EL116" i="7"/>
  <c r="ER142" i="7"/>
  <c r="FR78" i="7"/>
  <c r="EH126" i="7"/>
  <c r="EH135" i="7" s="1"/>
  <c r="BB127" i="7"/>
  <c r="BB215" i="7" s="1"/>
  <c r="BB175" i="7"/>
  <c r="BB203" i="7" s="1"/>
  <c r="BG147" i="7"/>
  <c r="BN127" i="7"/>
  <c r="ES142" i="7"/>
  <c r="AU175" i="7"/>
  <c r="AU203" i="7" s="1"/>
  <c r="ER82" i="7"/>
  <c r="FR82" i="7"/>
  <c r="EE133" i="7"/>
  <c r="BE130" i="7"/>
  <c r="EL120" i="7"/>
  <c r="EL133" i="7" s="1"/>
  <c r="BG139" i="7"/>
  <c r="BG131" i="7"/>
  <c r="BG117" i="7"/>
  <c r="EM117" i="7" s="1"/>
  <c r="BG132" i="7"/>
  <c r="FS32" i="7"/>
  <c r="FR32" i="7"/>
  <c r="BH139" i="7"/>
  <c r="BA126" i="7"/>
  <c r="BA135" i="7" s="1"/>
  <c r="AZ126" i="7"/>
  <c r="AZ135" i="7" s="1"/>
  <c r="BE120" i="7"/>
  <c r="BE133" i="7" s="1"/>
  <c r="AQ135" i="7"/>
  <c r="AQ127" i="7"/>
  <c r="AQ175" i="7"/>
  <c r="EQ106" i="7"/>
  <c r="FR106" i="7" s="1"/>
  <c r="AK126" i="7"/>
  <c r="AK134" i="7"/>
  <c r="AL126" i="7"/>
  <c r="AL134" i="7"/>
  <c r="AT134" i="7"/>
  <c r="AT126" i="7"/>
  <c r="AS134" i="7"/>
  <c r="AS126" i="7"/>
  <c r="AR134" i="7"/>
  <c r="AR126" i="7"/>
  <c r="AV126" i="7"/>
  <c r="AV134" i="7"/>
  <c r="AY126" i="7"/>
  <c r="AY135" i="7" s="1"/>
  <c r="AW126" i="7"/>
  <c r="AW135" i="7" s="1"/>
  <c r="FS113" i="7"/>
  <c r="EN207" i="7"/>
  <c r="EN206" i="7"/>
  <c r="EI133" i="7"/>
  <c r="EI124" i="7"/>
  <c r="EI125" i="7" s="1"/>
  <c r="EI126" i="7" s="1"/>
  <c r="EL208" i="7"/>
  <c r="EL209" i="7" s="1"/>
  <c r="EL213" i="7"/>
  <c r="BC126" i="7"/>
  <c r="AX126" i="7"/>
  <c r="AX135" i="7" s="1"/>
  <c r="X15" i="40"/>
  <c r="Y13" i="40"/>
  <c r="AP126" i="7"/>
  <c r="AM135" i="7"/>
  <c r="AM127" i="7"/>
  <c r="ED134" i="7"/>
  <c r="ED126" i="7"/>
  <c r="EF126" i="7"/>
  <c r="EF134" i="7"/>
  <c r="EE126" i="7"/>
  <c r="EE134" i="7"/>
  <c r="EQ63" i="7" l="1"/>
  <c r="FR63" i="7" s="1"/>
  <c r="EH127" i="7"/>
  <c r="BF145" i="7"/>
  <c r="BN146" i="7"/>
  <c r="BA175" i="7"/>
  <c r="BA203" i="7" s="1"/>
  <c r="ES82" i="7"/>
  <c r="BI139" i="7"/>
  <c r="BI131" i="7"/>
  <c r="BA127" i="7"/>
  <c r="BA215" i="7" s="1"/>
  <c r="BG130" i="7"/>
  <c r="BG120" i="7"/>
  <c r="AZ127" i="7"/>
  <c r="AZ215" i="7" s="1"/>
  <c r="AZ175" i="7"/>
  <c r="AZ203" i="7" s="1"/>
  <c r="BE124" i="7"/>
  <c r="BE126" i="7" s="1"/>
  <c r="BE175" i="7" s="1"/>
  <c r="AY127" i="7"/>
  <c r="AY215" i="7" s="1"/>
  <c r="AY175" i="7"/>
  <c r="AY203" i="7" s="1"/>
  <c r="AK127" i="7"/>
  <c r="AK135" i="7"/>
  <c r="AL127" i="7"/>
  <c r="AL135" i="7"/>
  <c r="BC135" i="7"/>
  <c r="BC175" i="7"/>
  <c r="BC203" i="7" s="1"/>
  <c r="AT135" i="7"/>
  <c r="AT175" i="7"/>
  <c r="AT127" i="7"/>
  <c r="AT215" i="7" s="1"/>
  <c r="AS135" i="7"/>
  <c r="AS175" i="7"/>
  <c r="AS127" i="7"/>
  <c r="AS215" i="7" s="1"/>
  <c r="AR135" i="7"/>
  <c r="AR175" i="7"/>
  <c r="AR127" i="7"/>
  <c r="AR215" i="7" s="1"/>
  <c r="AV135" i="7"/>
  <c r="AV175" i="7"/>
  <c r="AV203" i="7" s="1"/>
  <c r="AV127" i="7"/>
  <c r="AV215" i="7" s="1"/>
  <c r="AW127" i="7"/>
  <c r="AW215" i="7" s="1"/>
  <c r="AW175" i="7"/>
  <c r="AW203" i="7" s="1"/>
  <c r="AX127" i="7"/>
  <c r="AX175" i="7"/>
  <c r="ER106" i="7"/>
  <c r="FS106" i="7" s="1"/>
  <c r="EO207" i="7"/>
  <c r="EO206" i="7"/>
  <c r="FS5" i="7"/>
  <c r="EI135" i="7"/>
  <c r="EI127" i="7"/>
  <c r="EQ69" i="7"/>
  <c r="BC127" i="7"/>
  <c r="Y15" i="40"/>
  <c r="Z13" i="40"/>
  <c r="AP127" i="7"/>
  <c r="AP135" i="7"/>
  <c r="EE127" i="7"/>
  <c r="EE135" i="7"/>
  <c r="EF127" i="7"/>
  <c r="EF135" i="7"/>
  <c r="ED127" i="7"/>
  <c r="ED135" i="7"/>
  <c r="ER63" i="7" l="1"/>
  <c r="ES63" i="7" s="1"/>
  <c r="ET63" i="7" s="1"/>
  <c r="FR69" i="7"/>
  <c r="BO124" i="7"/>
  <c r="BO134" i="7" s="1"/>
  <c r="ET82" i="7"/>
  <c r="BI120" i="7"/>
  <c r="BI130" i="7"/>
  <c r="BE134" i="7"/>
  <c r="BA145" i="7"/>
  <c r="BG124" i="7"/>
  <c r="BG133" i="7"/>
  <c r="EM115" i="7"/>
  <c r="BE127" i="7"/>
  <c r="BE145" i="7" s="1"/>
  <c r="BE135" i="7"/>
  <c r="EL124" i="7"/>
  <c r="AX215" i="7"/>
  <c r="BB145" i="7"/>
  <c r="BC215" i="7"/>
  <c r="BC145" i="7"/>
  <c r="EP207" i="7"/>
  <c r="EP206" i="7"/>
  <c r="ES106" i="7"/>
  <c r="ET106" i="7" s="1"/>
  <c r="ER69" i="7"/>
  <c r="Z15" i="40"/>
  <c r="AA13" i="40"/>
  <c r="EQ71" i="7"/>
  <c r="FR71" i="7" s="1"/>
  <c r="EM130" i="7" l="1"/>
  <c r="EM132" i="7"/>
  <c r="BO126" i="7"/>
  <c r="BJ124" i="7"/>
  <c r="BJ134" i="7" s="1"/>
  <c r="BI133" i="7"/>
  <c r="BI124" i="7"/>
  <c r="BG126" i="7"/>
  <c r="BG175" i="7" s="1"/>
  <c r="BG134" i="7"/>
  <c r="EL126" i="7"/>
  <c r="EL135" i="7" s="1"/>
  <c r="EL134" i="7"/>
  <c r="EM131" i="7"/>
  <c r="EM139" i="7"/>
  <c r="EM213" i="7"/>
  <c r="EM208" i="7"/>
  <c r="EM209" i="7" s="1"/>
  <c r="EQ207" i="7"/>
  <c r="EQ206" i="7"/>
  <c r="ES69" i="7"/>
  <c r="AA15" i="40"/>
  <c r="AB13" i="40"/>
  <c r="ER71" i="7"/>
  <c r="BO135" i="7" l="1"/>
  <c r="BO127" i="7"/>
  <c r="BO146" i="7"/>
  <c r="BI126" i="7"/>
  <c r="BI175" i="7" s="1"/>
  <c r="EL204" i="7"/>
  <c r="EL127" i="7"/>
  <c r="BG135" i="7"/>
  <c r="BG127" i="7"/>
  <c r="EM116" i="7"/>
  <c r="EM120" i="7"/>
  <c r="EM133" i="7" s="1"/>
  <c r="EN131" i="7"/>
  <c r="EN213" i="7"/>
  <c r="EN208" i="7"/>
  <c r="EN209" i="7" s="1"/>
  <c r="EN139" i="7"/>
  <c r="EP115" i="7"/>
  <c r="ER207" i="7"/>
  <c r="ER206" i="7"/>
  <c r="ET69" i="7"/>
  <c r="AB15" i="40"/>
  <c r="AC13" i="40"/>
  <c r="ES71" i="7"/>
  <c r="BO145" i="7" l="1"/>
  <c r="BS145" i="7"/>
  <c r="FS82" i="7"/>
  <c r="BG145" i="7"/>
  <c r="BK145" i="7"/>
  <c r="BI134" i="7"/>
  <c r="BJ126" i="7"/>
  <c r="BJ135" i="7" s="1"/>
  <c r="BI127" i="7"/>
  <c r="BI135" i="7"/>
  <c r="EM124" i="7"/>
  <c r="EM125" i="7" s="1"/>
  <c r="EM126" i="7" s="1"/>
  <c r="EM127" i="7" s="1"/>
  <c r="EM145" i="7" s="1"/>
  <c r="EN133" i="7"/>
  <c r="EO131" i="7"/>
  <c r="EO208" i="7"/>
  <c r="EO209" i="7" s="1"/>
  <c r="EO139" i="7"/>
  <c r="EQ115" i="7"/>
  <c r="ES207" i="7"/>
  <c r="ES206" i="7"/>
  <c r="AC15" i="40"/>
  <c r="AD13" i="40"/>
  <c r="ET71" i="7"/>
  <c r="BJ175" i="7" l="1"/>
  <c r="BI145" i="7"/>
  <c r="BM145" i="7"/>
  <c r="BJ127" i="7"/>
  <c r="BJ145" i="7" s="1"/>
  <c r="EO133" i="7"/>
  <c r="EP133" i="7"/>
  <c r="EM135" i="7"/>
  <c r="EM204" i="7"/>
  <c r="EP208" i="7"/>
  <c r="EP209" i="7" s="1"/>
  <c r="EP131" i="7"/>
  <c r="EP139" i="7"/>
  <c r="ER115" i="7"/>
  <c r="FR120" i="7"/>
  <c r="ET207" i="7"/>
  <c r="ET206" i="7"/>
  <c r="FS63" i="7"/>
  <c r="AD15" i="40"/>
  <c r="AE13" i="40"/>
  <c r="BN145" i="7" l="1"/>
  <c r="EN124" i="7"/>
  <c r="EN125" i="7" s="1"/>
  <c r="ES115" i="7"/>
  <c r="EQ208" i="7"/>
  <c r="EQ209" i="7" s="1"/>
  <c r="EQ131" i="7"/>
  <c r="EQ139" i="7"/>
  <c r="FS69" i="7"/>
  <c r="FS71" i="7"/>
  <c r="AE15" i="40"/>
  <c r="AF13" i="40"/>
  <c r="BP146" i="7" l="1"/>
  <c r="EN126" i="7"/>
  <c r="EQ133" i="7"/>
  <c r="ER208" i="7"/>
  <c r="ER209" i="7" s="1"/>
  <c r="ER131" i="7"/>
  <c r="ER139" i="7"/>
  <c r="ET115" i="7"/>
  <c r="AF15" i="40"/>
  <c r="AG13" i="40"/>
  <c r="BQ124" i="7" l="1"/>
  <c r="EN127" i="7"/>
  <c r="EN145" i="7" s="1"/>
  <c r="EN135" i="7"/>
  <c r="EN204" i="7"/>
  <c r="ER133" i="7"/>
  <c r="ES208" i="7"/>
  <c r="ES209" i="7" s="1"/>
  <c r="ES131" i="7"/>
  <c r="ES139" i="7"/>
  <c r="ES133" i="7"/>
  <c r="EV139" i="7"/>
  <c r="AG15" i="40"/>
  <c r="AH13" i="40"/>
  <c r="BQ134" i="7" l="1"/>
  <c r="ET208" i="7"/>
  <c r="ET209" i="7" s="1"/>
  <c r="ET139" i="7"/>
  <c r="AH15" i="40"/>
  <c r="AI13" i="40"/>
  <c r="BQ126" i="7" l="1"/>
  <c r="EU139" i="7"/>
  <c r="FS120" i="7"/>
  <c r="AI15" i="40"/>
  <c r="AJ13" i="40"/>
  <c r="EO204" i="7"/>
  <c r="EO135" i="7"/>
  <c r="BQ127" i="7" l="1"/>
  <c r="BQ135" i="7"/>
  <c r="AK13" i="40"/>
  <c r="AK15" i="40" s="1"/>
  <c r="AJ15" i="40"/>
  <c r="BQ145" i="7" l="1"/>
  <c r="BU145" i="7"/>
  <c r="BQ146" i="7"/>
  <c r="BR124" i="7" l="1"/>
  <c r="EP135" i="7"/>
  <c r="EP204" i="7"/>
  <c r="BR134" i="7" l="1"/>
  <c r="BR126" i="7" l="1"/>
  <c r="EQ135" i="7"/>
  <c r="EQ204" i="7"/>
  <c r="BR127" i="7" l="1"/>
  <c r="BR135" i="7"/>
  <c r="BR146" i="7"/>
  <c r="BR145" i="7" l="1"/>
  <c r="BV145" i="7"/>
  <c r="ER135" i="7" l="1"/>
  <c r="ER204" i="7"/>
  <c r="ES135" i="7" l="1"/>
  <c r="ES204" i="7"/>
  <c r="ET204" i="7" l="1"/>
  <c r="EK133" i="7" l="1"/>
  <c r="EK134" i="7" l="1"/>
  <c r="EK135" i="7" l="1"/>
  <c r="EK204" i="7"/>
  <c r="EL145" i="7" l="1"/>
  <c r="EK215" i="7"/>
  <c r="FR130" i="7" l="1"/>
  <c r="BD208" i="7"/>
  <c r="BD120" i="7"/>
  <c r="BD213" i="7"/>
  <c r="BD124" i="7" l="1"/>
  <c r="BD134" i="7" s="1"/>
  <c r="BD133" i="7"/>
  <c r="BD210" i="7"/>
  <c r="BD209" i="7"/>
  <c r="BD126" i="7" l="1"/>
  <c r="BD135" i="7" l="1"/>
  <c r="BD175" i="7"/>
  <c r="BD127" i="7"/>
  <c r="BD145" i="7" l="1"/>
  <c r="BH145" i="7"/>
  <c r="BP117" i="7" l="1"/>
  <c r="BP120" i="7" l="1"/>
  <c r="BP133" i="7" s="1"/>
  <c r="BP130" i="7"/>
  <c r="EO117" i="7"/>
  <c r="EO130" i="7" s="1"/>
  <c r="BP124" i="7" l="1"/>
  <c r="BP134" i="7" s="1"/>
  <c r="EO116" i="7"/>
  <c r="BP126" i="7" l="1"/>
  <c r="BP135" i="7" s="1"/>
  <c r="BP127" i="7" l="1"/>
  <c r="BP145" i="7" s="1"/>
  <c r="BT145" i="7" l="1"/>
  <c r="CW115" i="7"/>
  <c r="CW139" i="7" l="1"/>
  <c r="CW117" i="7"/>
  <c r="DA139" i="7"/>
  <c r="CW132" i="7"/>
  <c r="CW131" i="7"/>
  <c r="CW120" i="7" l="1"/>
  <c r="CW124" i="7" s="1"/>
  <c r="CW130" i="7"/>
  <c r="CW133" i="7" l="1"/>
  <c r="CW134" i="7"/>
  <c r="CW126" i="7"/>
  <c r="CW127" i="7" s="1"/>
  <c r="CW135" i="7"/>
  <c r="CJ115" i="7" l="1"/>
  <c r="CJ139" i="7" l="1"/>
  <c r="CN139" i="7"/>
  <c r="CJ132" i="7"/>
  <c r="CJ131" i="7"/>
  <c r="CJ117" i="7"/>
  <c r="CJ130" i="7" l="1"/>
  <c r="CJ120" i="7"/>
  <c r="CJ133" i="7" l="1"/>
  <c r="CJ124" i="7"/>
  <c r="CJ126" i="7" l="1"/>
  <c r="CJ134" i="7"/>
  <c r="CJ135" i="7" l="1"/>
  <c r="CJ12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6"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tc={B52E5836-4F8C-4866-9C6F-CE1E866B9D46}</author>
    <author>tc={CA858B5E-9054-46AF-AA9A-42623CE4A233}</author>
    <author>tc={683B9782-E7EA-4C42-9B71-E1DDCE9C7C9C}</author>
    <author>tc={20FF6B80-522A-44AC-BB2D-CF6072448AA8}</author>
    <author>tc={AF36EEB3-AD93-43FB-8166-0D23195CDA8B}</author>
    <author>tc={1DF4C0C5-DE32-44FE-9A5D-47D60D334134}</author>
    <author>tc={15DC389D-A6C8-4A63-92A4-F8BED2930885}</author>
    <author>tc={969812BA-06E1-416F-B0AC-89AE4AAFFFF7}</author>
    <author>tc={2A72A121-4E72-4720-BD91-49E44ABB0622}</author>
    <author>Authorized User</author>
    <author>tc={822253A5-163B-40A6-9913-D31DD8980881}</author>
    <author>tc={9F40A5AC-9928-48A5-9E23-B4A80250E7FF}</author>
    <author>tc={2A6A2086-80E6-4254-8F23-FA6D1A8F3348}</author>
    <author>tc={46AB17C8-C512-4F83-8DD5-5EAEF0B5D575}</author>
    <author>tc={93230A79-7458-4246-8AC9-E1155292A69B}</author>
    <author>tc={38FB92C4-0C09-430D-BE45-40E02FCCBC59}</author>
    <author>tc={7018CE06-4564-4CAD-88ED-A0333810FE65}</author>
    <author>tc={22C14416-C1C4-4F22-8E97-A7F4179DA791}</author>
    <author>tc={67784DD6-0C5D-42FA-B372-2E2835E5D2EE}</author>
    <author>tc={4CCFFF11-76ED-4A92-B203-F80F8F84CD8F}</author>
    <author>tc={4B315500-6997-4A05-A1D1-EDD2C3592B09}</author>
    <author>tc={4720E812-008D-402E-B4B6-D6BD80C8F06D}</author>
    <author>tc={C71154CD-B193-48F5-98B8-CBB12861830C}</author>
    <author>tc={21A04DF6-628E-420C-99DD-4083E0B22C45}</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tc={6179C016-99FD-47EB-9B08-9611106B4E68}</author>
    <author>tc={598222A9-21C8-4D19-9844-EEEC829C168A}</author>
    <author>tc={F1A75182-2AD9-4C39-A2E8-2FB6BD2B738D}</author>
    <author>tc={1A06BA9C-FB50-4468-A663-D7931EBDA294}</author>
    <author>tc={0695F87C-27FD-450E-9869-B928F75C3FA1}</author>
    <author>tc={715694F3-C9BD-4901-8238-EF210F261DD6}</author>
    <author>tc={2F9D2393-8AEA-4796-A6DA-5AFFCA0EF366}</author>
    <author>tc={658EE746-4F28-4C60-B8C3-3A30A6E66FA3}</author>
    <author>tc={8F79B299-B54A-4806-8985-467AD571F338}</author>
    <author>tc={B24CBC24-6DCB-4417-9096-2FB81F15C1A3}</author>
    <author>tc={7CB0AF66-05C0-4684-A6E1-72A5FC4846D9}</author>
    <author>tc={EF400A61-8487-4955-8D65-26C556923255}</author>
    <author>tc={E2B201B5-FB54-472B-934B-865B93C95ABF}</author>
    <author>tc={B148E439-FDE1-4124-8004-0292797A56CD}</author>
    <author>tc={05DE658F-B4BD-4BDE-A3A5-1A693980BEA7}</author>
    <author>tc={D39B9572-0A26-460A-B42B-E9D8BFEDA417}</author>
    <author>tc={65C746EA-BD4D-4CAD-AD24-3141C7528F27}</author>
    <author>tc={8D72EABE-94D0-4B4D-AEB7-82FA7570459B}</author>
    <author>tc={4D62E576-8008-4ADF-AEDA-360EEA41415D}</author>
    <author>tc={55A6C5B1-AEE7-4F4D-9994-CF51133E5C48}</author>
    <author>tc={7CF40854-9B4F-46C3-A4C7-AF8958B1AEBE}</author>
    <author>tc={AF75AD33-DCB9-440E-A0F0-2EE7BB39C3AF}</author>
    <author>tc={8F724064-5364-484A-8426-B15ACC4FE5C0}</author>
    <author>tc={C627D00D-EDA3-4474-A055-13323D4F203C}</author>
    <author>tc={B30FCB0D-D6BD-47D4-99C8-6CF789D7E8FB}</author>
    <author>tc={3D7CF891-C6FB-4818-8568-C7763AA6EF7F}</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7" authorId="20" shapeId="0" xr:uid="{00000000-0006-0000-0400-000052000000}">
      <text>
        <r>
          <rPr>
            <b/>
            <sz val="8"/>
            <color indexed="81"/>
            <rFont val="Tahoma"/>
            <family val="2"/>
          </rPr>
          <t>Martin Shkreli:</t>
        </r>
        <r>
          <rPr>
            <sz val="8"/>
            <color indexed="81"/>
            <rFont val="Tahoma"/>
            <family val="2"/>
          </rPr>
          <t xml:space="preserve">
7/14/07 price increase</t>
        </r>
      </text>
    </comment>
    <comment ref="AT57" authorId="21" shapeId="0" xr:uid="{00000000-0006-0000-0400-000053000000}">
      <text>
        <r>
          <rPr>
            <b/>
            <sz val="8"/>
            <color indexed="81"/>
            <rFont val="Tahoma"/>
            <family val="2"/>
          </rPr>
          <t>Bloomberg:</t>
        </r>
        <r>
          <rPr>
            <sz val="8"/>
            <color indexed="81"/>
            <rFont val="Tahoma"/>
            <family val="2"/>
          </rPr>
          <t xml:space="preserve">
7% px inc 1/1/08</t>
        </r>
      </text>
    </comment>
    <comment ref="EL57"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8" authorId="20" shapeId="0" xr:uid="{00000000-0006-0000-0400-000042000000}">
      <text>
        <r>
          <rPr>
            <b/>
            <sz val="8"/>
            <color indexed="81"/>
            <rFont val="Tahoma"/>
            <family val="2"/>
          </rPr>
          <t>Martin Shkreli:</t>
        </r>
        <r>
          <rPr>
            <sz val="8"/>
            <color indexed="81"/>
            <rFont val="Tahoma"/>
            <family val="2"/>
          </rPr>
          <t xml:space="preserve">
6% price increase 5/08</t>
        </r>
      </text>
    </comment>
    <comment ref="EO58" authorId="0" shapeId="0" xr:uid="{00000000-0006-0000-0400-000043000000}">
      <text>
        <r>
          <rPr>
            <b/>
            <sz val="9"/>
            <color indexed="81"/>
            <rFont val="Tahoma"/>
            <family val="2"/>
          </rPr>
          <t>Martin:</t>
        </r>
        <r>
          <rPr>
            <sz val="9"/>
            <color indexed="81"/>
            <rFont val="Tahoma"/>
            <family val="2"/>
          </rPr>
          <t xml:space="preserve">
1353 actual</t>
        </r>
      </text>
    </comment>
    <comment ref="BE59"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9" authorId="0" shapeId="0" xr:uid="{00000000-0006-0000-0400-000049000000}">
      <text>
        <r>
          <rPr>
            <sz val="9"/>
            <color indexed="81"/>
            <rFont val="Tahoma"/>
            <family val="2"/>
          </rPr>
          <t>Pristiq 158
Effexor 106</t>
        </r>
      </text>
    </comment>
    <comment ref="EK59" authorId="17" shapeId="0" xr:uid="{00000000-0006-0000-0400-00004A000000}">
      <text>
        <r>
          <rPr>
            <b/>
            <sz val="9"/>
            <color indexed="81"/>
            <rFont val="Tahoma"/>
            <family val="2"/>
          </rPr>
          <t>MSMB - Andre:</t>
        </r>
        <r>
          <rPr>
            <sz val="9"/>
            <color indexed="81"/>
            <rFont val="Tahoma"/>
            <family val="2"/>
          </rPr>
          <t xml:space="preserve">
3,065 full year?</t>
        </r>
      </text>
    </comment>
    <comment ref="AA63" authorId="26" shapeId="0" xr:uid="{00000000-0006-0000-0400-000010000000}">
      <text>
        <r>
          <rPr>
            <b/>
            <sz val="8"/>
            <color indexed="81"/>
            <rFont val="Tahoma"/>
            <family val="2"/>
          </rPr>
          <t>Marek Biestek:</t>
        </r>
        <r>
          <rPr>
            <sz val="8"/>
            <color indexed="81"/>
            <rFont val="Tahoma"/>
            <family val="2"/>
          </rPr>
          <t xml:space="preserve">
REPORTED 28M</t>
        </r>
      </text>
    </comment>
    <comment ref="AI63" authorId="0" shapeId="0" xr:uid="{00000000-0006-0000-0400-000011000000}">
      <text>
        <r>
          <rPr>
            <b/>
            <sz val="9"/>
            <color indexed="81"/>
            <rFont val="Tahoma"/>
            <family val="2"/>
          </rPr>
          <t>Martin:</t>
        </r>
        <r>
          <rPr>
            <sz val="9"/>
            <color indexed="81"/>
            <rFont val="Tahoma"/>
            <family val="2"/>
          </rPr>
          <t xml:space="preserve">
Bextra 56</t>
        </r>
      </text>
    </comment>
    <comment ref="AS63"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3" authorId="21" shapeId="0" xr:uid="{00000000-0006-0000-0400-000013000000}">
      <text>
        <r>
          <rPr>
            <b/>
            <sz val="8"/>
            <color indexed="81"/>
            <rFont val="Tahoma"/>
            <family val="2"/>
          </rPr>
          <t>Bloomberg:</t>
        </r>
        <r>
          <rPr>
            <sz val="8"/>
            <color indexed="81"/>
            <rFont val="Tahoma"/>
            <family val="2"/>
          </rPr>
          <t xml:space="preserve">
7% price increase 1/1/08</t>
        </r>
      </text>
    </comment>
    <comment ref="BD63" authorId="1" shapeId="0" xr:uid="{00000000-0006-0000-0400-000014000000}">
      <text>
        <r>
          <rPr>
            <b/>
            <sz val="9"/>
            <color indexed="81"/>
            <rFont val="Tahoma"/>
            <family val="2"/>
          </rPr>
          <t>MSMB:</t>
        </r>
        <r>
          <rPr>
            <sz val="9"/>
            <color indexed="81"/>
            <rFont val="Tahoma"/>
            <family val="2"/>
          </rPr>
          <t xml:space="preserve">
551 consensus</t>
        </r>
      </text>
    </comment>
    <comment ref="EE63" authorId="20" shapeId="0" xr:uid="{00000000-0006-0000-0400-000015000000}">
      <text>
        <r>
          <rPr>
            <b/>
            <sz val="8"/>
            <color indexed="81"/>
            <rFont val="Tahoma"/>
            <family val="2"/>
          </rPr>
          <t>Martin Shkreli:</t>
        </r>
        <r>
          <rPr>
            <sz val="8"/>
            <color indexed="81"/>
            <rFont val="Tahoma"/>
            <family val="2"/>
          </rPr>
          <t xml:space="preserve">
1883 from PHA</t>
        </r>
      </text>
    </comment>
    <comment ref="EH63"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3"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4" authorId="0" shapeId="0" xr:uid="{00000000-0006-0000-0400-00004E000000}">
      <text>
        <r>
          <rPr>
            <b/>
            <sz val="9"/>
            <color indexed="81"/>
            <rFont val="Tahoma"/>
            <family val="2"/>
          </rPr>
          <t>Martin:</t>
        </r>
        <r>
          <rPr>
            <sz val="9"/>
            <color indexed="81"/>
            <rFont val="Tahoma"/>
            <family val="2"/>
          </rPr>
          <t xml:space="preserve">
US expiry</t>
        </r>
      </text>
    </comment>
    <comment ref="ED64" authorId="20" shapeId="0" xr:uid="{00000000-0006-0000-0400-00004F000000}">
      <text>
        <r>
          <rPr>
            <b/>
            <sz val="8"/>
            <color indexed="81"/>
            <rFont val="Tahoma"/>
            <family val="2"/>
          </rPr>
          <t>Martin Shkreli:</t>
        </r>
        <r>
          <rPr>
            <sz val="8"/>
            <color indexed="81"/>
            <rFont val="Tahoma"/>
            <family val="2"/>
          </rPr>
          <t xml:space="preserve">
PHA drug.
PFE 0</t>
        </r>
      </text>
    </comment>
    <comment ref="EE64" authorId="20" shapeId="0" xr:uid="{00000000-0006-0000-0400-000050000000}">
      <text>
        <r>
          <rPr>
            <b/>
            <sz val="8"/>
            <color indexed="81"/>
            <rFont val="Tahoma"/>
            <family val="2"/>
          </rPr>
          <t>Martin Shkreli:</t>
        </r>
        <r>
          <rPr>
            <sz val="8"/>
            <color indexed="81"/>
            <rFont val="Tahoma"/>
            <family val="2"/>
          </rPr>
          <t xml:space="preserve">
668 PHA?</t>
        </r>
      </text>
    </comment>
    <comment ref="EM64" authorId="19" shapeId="0" xr:uid="{00000000-0006-0000-0400-000051000000}">
      <text>
        <r>
          <rPr>
            <b/>
            <sz val="8"/>
            <color indexed="81"/>
            <rFont val="Tahoma"/>
            <family val="2"/>
          </rPr>
          <t>mshkreli:</t>
        </r>
        <r>
          <rPr>
            <sz val="8"/>
            <color indexed="81"/>
            <rFont val="Tahoma"/>
            <family val="2"/>
          </rPr>
          <t xml:space="preserve">
March 2011</t>
        </r>
      </text>
    </comment>
    <comment ref="D66"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6"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6"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6"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6"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6"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6"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6"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7" authorId="17" shapeId="0" xr:uid="{00000000-0006-0000-0400-00005D000000}">
      <text>
        <r>
          <rPr>
            <b/>
            <sz val="9"/>
            <color indexed="81"/>
            <rFont val="Tahoma"/>
            <family val="2"/>
          </rPr>
          <t>MSMB - Andre:</t>
        </r>
        <r>
          <rPr>
            <sz val="9"/>
            <color indexed="81"/>
            <rFont val="Tahoma"/>
            <family val="2"/>
          </rPr>
          <t xml:space="preserve">
1214 FY?</t>
        </r>
      </text>
    </comment>
    <comment ref="C69" authorId="0" shapeId="0" xr:uid="{00000000-0006-0000-0400-000018000000}">
      <text>
        <r>
          <rPr>
            <sz val="9"/>
            <color indexed="81"/>
            <rFont val="Tahoma"/>
            <family val="2"/>
          </rPr>
          <t>Source document: WLA quarterly press release</t>
        </r>
      </text>
    </comment>
    <comment ref="D69"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9"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9"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9"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9"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9"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9" authorId="21" shapeId="0" xr:uid="{00000000-0006-0000-0400-00001F000000}">
      <text>
        <r>
          <rPr>
            <b/>
            <sz val="8"/>
            <color indexed="81"/>
            <rFont val="Tahoma"/>
            <family val="2"/>
          </rPr>
          <t>Bloomberg:</t>
        </r>
        <r>
          <rPr>
            <sz val="8"/>
            <color indexed="81"/>
            <rFont val="Tahoma"/>
            <family val="2"/>
          </rPr>
          <t xml:space="preserve">
US -4%, Intl +13%</t>
        </r>
      </text>
    </comment>
    <comment ref="BB69" authorId="1" shapeId="0" xr:uid="{00000000-0006-0000-0400-000020000000}">
      <text>
        <r>
          <rPr>
            <b/>
            <sz val="9"/>
            <color indexed="81"/>
            <rFont val="Tahoma"/>
            <family val="2"/>
          </rPr>
          <t>MSMB:</t>
        </r>
        <r>
          <rPr>
            <sz val="9"/>
            <color indexed="81"/>
            <rFont val="Tahoma"/>
            <family val="2"/>
          </rPr>
          <t xml:space="preserve">
237m in EM, up 7% operationally</t>
        </r>
      </text>
    </comment>
    <comment ref="BD69"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9"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9" authorId="0" shapeId="0" xr:uid="{00000000-0006-0000-0400-000023000000}">
      <text>
        <r>
          <rPr>
            <b/>
            <sz val="9"/>
            <color indexed="81"/>
            <rFont val="Tahoma"/>
            <family val="2"/>
          </rPr>
          <t>Martin:</t>
        </r>
        <r>
          <rPr>
            <sz val="9"/>
            <color indexed="81"/>
            <rFont val="Tahoma"/>
            <family val="2"/>
          </rPr>
          <t xml:space="preserve">
LOE</t>
        </r>
      </text>
    </comment>
    <comment ref="EG69" authorId="20" shapeId="0" xr:uid="{00000000-0006-0000-0400-000024000000}">
      <text>
        <r>
          <rPr>
            <b/>
            <sz val="8"/>
            <color indexed="81"/>
            <rFont val="Tahoma"/>
            <family val="2"/>
          </rPr>
          <t>Martin Shkreli:</t>
        </r>
        <r>
          <rPr>
            <sz val="8"/>
            <color indexed="81"/>
            <rFont val="Tahoma"/>
            <family val="2"/>
          </rPr>
          <t xml:space="preserve">
Zocor generic ex-US?</t>
        </r>
      </text>
    </comment>
    <comment ref="EH69" authorId="20" shapeId="0" xr:uid="{00000000-0006-0000-0400-000025000000}">
      <text>
        <r>
          <rPr>
            <sz val="8"/>
            <color indexed="81"/>
            <rFont val="Tahoma"/>
            <family val="2"/>
          </rPr>
          <t>Zocor generic US 6/2006
13B guidance now noted to be ambitious</t>
        </r>
      </text>
    </comment>
    <comment ref="EI69"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9"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9"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9"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70"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70"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70"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70" authorId="21" shapeId="0" xr:uid="{00000000-0006-0000-0400-00002D000000}">
      <text>
        <r>
          <rPr>
            <b/>
            <sz val="8"/>
            <color indexed="81"/>
            <rFont val="Tahoma"/>
            <family val="2"/>
          </rPr>
          <t>Bloomberg:</t>
        </r>
        <r>
          <rPr>
            <sz val="8"/>
            <color indexed="81"/>
            <rFont val="Tahoma"/>
            <family val="2"/>
          </rPr>
          <t xml:space="preserve">
9% price increase 1/1/08</t>
        </r>
      </text>
    </comment>
    <comment ref="AV70" authorId="20" shapeId="0" xr:uid="{00000000-0006-0000-0400-00002E000000}">
      <text>
        <r>
          <rPr>
            <b/>
            <sz val="8"/>
            <color indexed="81"/>
            <rFont val="Tahoma"/>
            <family val="2"/>
          </rPr>
          <t>Martin Shkreli:</t>
        </r>
        <r>
          <rPr>
            <sz val="8"/>
            <color indexed="81"/>
            <rFont val="Tahoma"/>
            <family val="2"/>
          </rPr>
          <t xml:space="preserve">
9% 5/2008 increase</t>
        </r>
      </text>
    </comment>
    <comment ref="BD70" authorId="0" shapeId="0" xr:uid="{00000000-0006-0000-0400-00002F000000}">
      <text>
        <r>
          <rPr>
            <b/>
            <sz val="9"/>
            <color indexed="81"/>
            <rFont val="Tahoma"/>
            <family val="2"/>
          </rPr>
          <t>Martin:</t>
        </r>
        <r>
          <rPr>
            <sz val="9"/>
            <color indexed="81"/>
            <rFont val="Tahoma"/>
            <family val="2"/>
          </rPr>
          <t xml:space="preserve">
June: LOE in Brazil</t>
        </r>
      </text>
    </comment>
    <comment ref="BW70"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70" authorId="0" shapeId="0" xr:uid="{00000000-0006-0000-0400-000030000000}">
      <text>
        <r>
          <rPr>
            <b/>
            <sz val="9"/>
            <color indexed="81"/>
            <rFont val="Tahoma"/>
            <family val="2"/>
          </rPr>
          <t>Martin:</t>
        </r>
        <r>
          <rPr>
            <sz val="9"/>
            <color indexed="81"/>
            <rFont val="Tahoma"/>
            <family val="2"/>
          </rPr>
          <t xml:space="preserve">
1881 actual</t>
        </r>
      </text>
    </comment>
    <comment ref="EU70" authorId="0" shapeId="0" xr:uid="{00000000-0006-0000-0400-000031000000}">
      <text>
        <r>
          <rPr>
            <b/>
            <sz val="9"/>
            <color indexed="81"/>
            <rFont val="Tahoma"/>
            <family val="2"/>
          </rPr>
          <t>Martin:</t>
        </r>
        <r>
          <rPr>
            <sz val="9"/>
            <color indexed="81"/>
            <rFont val="Tahoma"/>
            <family val="2"/>
          </rPr>
          <t xml:space="preserve">
Expiry after case won 8/15/11</t>
        </r>
      </text>
    </comment>
    <comment ref="C71"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1"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1"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1" authorId="0" shapeId="0" xr:uid="{00000000-0006-0000-0400-000035000000}">
      <text>
        <r>
          <rPr>
            <b/>
            <sz val="9"/>
            <color indexed="81"/>
            <rFont val="Tahoma"/>
            <family val="2"/>
          </rPr>
          <t>Martin:</t>
        </r>
        <r>
          <rPr>
            <sz val="9"/>
            <color indexed="81"/>
            <rFont val="Tahoma"/>
            <family val="2"/>
          </rPr>
          <t xml:space="preserve">
10-Q has 567</t>
        </r>
      </text>
    </comment>
    <comment ref="H71"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1" authorId="20" shapeId="0" xr:uid="{00000000-0006-0000-0400-000037000000}">
      <text>
        <r>
          <rPr>
            <b/>
            <sz val="8"/>
            <color indexed="81"/>
            <rFont val="Tahoma"/>
            <family val="2"/>
          </rPr>
          <t>Martin Shkreli:</t>
        </r>
        <r>
          <rPr>
            <sz val="8"/>
            <color indexed="81"/>
            <rFont val="Tahoma"/>
            <family val="2"/>
          </rPr>
          <t xml:space="preserve">
only one generic?</t>
        </r>
      </text>
    </comment>
    <comment ref="AU71" authorId="21" shapeId="0" xr:uid="{00000000-0006-0000-0400-000038000000}">
      <text>
        <r>
          <rPr>
            <b/>
            <sz val="8"/>
            <color indexed="81"/>
            <rFont val="Tahoma"/>
            <family val="2"/>
          </rPr>
          <t>Bloomberg:</t>
        </r>
        <r>
          <rPr>
            <sz val="8"/>
            <color indexed="81"/>
            <rFont val="Tahoma"/>
            <family val="2"/>
          </rPr>
          <t xml:space="preserve">
italy loses exclusivity</t>
        </r>
      </text>
    </comment>
    <comment ref="AW71" authorId="21" shapeId="0" xr:uid="{00000000-0006-0000-0400-000039000000}">
      <text>
        <r>
          <rPr>
            <b/>
            <sz val="8"/>
            <color indexed="81"/>
            <rFont val="Tahoma"/>
            <family val="2"/>
          </rPr>
          <t>Bloomberg:</t>
        </r>
        <r>
          <rPr>
            <sz val="8"/>
            <color indexed="81"/>
            <rFont val="Tahoma"/>
            <family val="2"/>
          </rPr>
          <t xml:space="preserve">
Japan loses exclusivity</t>
        </r>
      </text>
    </comment>
    <comment ref="DS71"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1"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1"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1"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1"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1"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1"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1"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3" authorId="19" shapeId="0" xr:uid="{00000000-0006-0000-0400-000066000000}">
      <text>
        <r>
          <rPr>
            <b/>
            <sz val="8"/>
            <color indexed="81"/>
            <rFont val="Tahoma"/>
            <family val="2"/>
          </rPr>
          <t>mshkreli:</t>
        </r>
        <r>
          <rPr>
            <sz val="8"/>
            <color indexed="81"/>
            <rFont val="Tahoma"/>
            <family val="2"/>
          </rPr>
          <t xml:space="preserve">
launched 8/05</t>
        </r>
      </text>
    </comment>
    <comment ref="C74"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4"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4"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4"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4"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4"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4"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4"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4"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4" authorId="19" shapeId="0" xr:uid="{00000000-0006-0000-0400-000070000000}">
      <text>
        <r>
          <rPr>
            <b/>
            <sz val="8"/>
            <color indexed="81"/>
            <rFont val="Tahoma"/>
            <family val="2"/>
          </rPr>
          <t>mshkreli:</t>
        </r>
        <r>
          <rPr>
            <sz val="8"/>
            <color indexed="81"/>
            <rFont val="Tahoma"/>
            <family val="2"/>
          </rPr>
          <t xml:space="preserve">
foreign patents???</t>
        </r>
      </text>
    </comment>
    <comment ref="BF76" authorId="0" shapeId="0" xr:uid="{00000000-0006-0000-0400-000074000000}">
      <text>
        <r>
          <rPr>
            <b/>
            <sz val="9"/>
            <color indexed="81"/>
            <rFont val="Tahoma"/>
            <family val="2"/>
          </rPr>
          <t>Martin:</t>
        </r>
        <r>
          <rPr>
            <sz val="9"/>
            <color indexed="81"/>
            <rFont val="Tahoma"/>
            <family val="2"/>
          </rPr>
          <t xml:space="preserve">
November 2010 US expiry</t>
        </r>
      </text>
    </comment>
    <comment ref="AS77" authorId="20" shapeId="0" xr:uid="{00000000-0006-0000-0400-000075000000}">
      <text>
        <r>
          <rPr>
            <b/>
            <sz val="8"/>
            <color indexed="81"/>
            <rFont val="Tahoma"/>
            <family val="2"/>
          </rPr>
          <t>Martin Shkreli:</t>
        </r>
        <r>
          <rPr>
            <sz val="8"/>
            <color indexed="81"/>
            <rFont val="Tahoma"/>
            <family val="2"/>
          </rPr>
          <t xml:space="preserve">
5-10% px increase 7/14</t>
        </r>
      </text>
    </comment>
    <comment ref="AT77" authorId="21" shapeId="0" xr:uid="{00000000-0006-0000-0400-000076000000}">
      <text>
        <r>
          <rPr>
            <b/>
            <sz val="8"/>
            <color indexed="81"/>
            <rFont val="Tahoma"/>
            <family val="2"/>
          </rPr>
          <t>Bloomberg:</t>
        </r>
        <r>
          <rPr>
            <sz val="8"/>
            <color indexed="81"/>
            <rFont val="Tahoma"/>
            <family val="2"/>
          </rPr>
          <t xml:space="preserve">
9% price increase 1/1/08</t>
        </r>
      </text>
    </comment>
    <comment ref="BK77" authorId="0" shapeId="0" xr:uid="{00000000-0006-0000-0400-000077000000}">
      <text>
        <r>
          <rPr>
            <b/>
            <sz val="9"/>
            <color indexed="81"/>
            <rFont val="Tahoma"/>
            <family val="2"/>
          </rPr>
          <t>Martin:</t>
        </r>
        <r>
          <rPr>
            <sz val="9"/>
            <color indexed="81"/>
            <rFont val="Tahoma"/>
            <family val="2"/>
          </rPr>
          <t xml:space="preserve">
US expiry</t>
        </r>
      </text>
    </comment>
    <comment ref="C81"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1"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1"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1"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1"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1"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1"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1"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1"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2" authorId="21" shapeId="0" xr:uid="{00000000-0006-0000-0400-000004000000}">
      <text>
        <r>
          <rPr>
            <b/>
            <sz val="8"/>
            <color indexed="81"/>
            <rFont val="Tahoma"/>
            <family val="2"/>
          </rPr>
          <t>Bloomberg:</t>
        </r>
        <r>
          <rPr>
            <sz val="8"/>
            <color indexed="81"/>
            <rFont val="Tahoma"/>
            <family val="2"/>
          </rPr>
          <t xml:space="preserve">
7% price increase on 1/1/08</t>
        </r>
      </text>
    </comment>
    <comment ref="AV82" authorId="20" shapeId="0" xr:uid="{00000000-0006-0000-0400-000005000000}">
      <text>
        <r>
          <rPr>
            <b/>
            <sz val="8"/>
            <color indexed="81"/>
            <rFont val="Tahoma"/>
            <family val="2"/>
          </rPr>
          <t>Martin Shkreli:</t>
        </r>
        <r>
          <rPr>
            <sz val="8"/>
            <color indexed="81"/>
            <rFont val="Tahoma"/>
            <family val="2"/>
          </rPr>
          <t xml:space="preserve">
5% px in on 5/2/08</t>
        </r>
      </text>
    </comment>
    <comment ref="BC82" authorId="1" shapeId="0" xr:uid="{00000000-0006-0000-0400-000006000000}">
      <text>
        <r>
          <rPr>
            <b/>
            <sz val="9"/>
            <color indexed="81"/>
            <rFont val="Tahoma"/>
            <family val="2"/>
          </rPr>
          <t>MSMB:</t>
        </r>
        <r>
          <rPr>
            <sz val="9"/>
            <color indexed="81"/>
            <rFont val="Tahoma"/>
            <family val="2"/>
          </rPr>
          <t xml:space="preserve">
US down 16%?!</t>
        </r>
      </text>
    </comment>
    <comment ref="BD82" authorId="1" shapeId="0" xr:uid="{00000000-0006-0000-0400-000007000000}">
      <text>
        <r>
          <rPr>
            <b/>
            <sz val="9"/>
            <color indexed="81"/>
            <rFont val="Tahoma"/>
            <family val="2"/>
          </rPr>
          <t>MSMB:</t>
        </r>
        <r>
          <rPr>
            <sz val="9"/>
            <color indexed="81"/>
            <rFont val="Tahoma"/>
            <family val="2"/>
          </rPr>
          <t xml:space="preserve">
706 consensus</t>
        </r>
      </text>
    </comment>
    <comment ref="EH82" authorId="20" shapeId="0" xr:uid="{00000000-0006-0000-0400-000008000000}">
      <text>
        <r>
          <rPr>
            <sz val="8"/>
            <color indexed="81"/>
            <rFont val="Tahoma"/>
            <family val="2"/>
          </rPr>
          <t>&gt;1B guidace, was over 900m</t>
        </r>
      </text>
    </comment>
    <comment ref="ED83" authorId="20" shapeId="0" xr:uid="{00000000-0006-0000-0400-000081000000}">
      <text>
        <r>
          <rPr>
            <b/>
            <sz val="8"/>
            <color indexed="81"/>
            <rFont val="Tahoma"/>
            <family val="2"/>
          </rPr>
          <t>Martin Shkreli:</t>
        </r>
        <r>
          <rPr>
            <sz val="8"/>
            <color indexed="81"/>
            <rFont val="Tahoma"/>
            <family val="2"/>
          </rPr>
          <t xml:space="preserve">
PHA drug. PFE 0.</t>
        </r>
      </text>
    </comment>
    <comment ref="EE83" authorId="20" shapeId="0" xr:uid="{00000000-0006-0000-0400-000082000000}">
      <text>
        <r>
          <rPr>
            <b/>
            <sz val="8"/>
            <color indexed="81"/>
            <rFont val="Tahoma"/>
            <family val="2"/>
          </rPr>
          <t>Martin Shkreli:</t>
        </r>
        <r>
          <rPr>
            <sz val="8"/>
            <color indexed="81"/>
            <rFont val="Tahoma"/>
            <family val="2"/>
          </rPr>
          <t xml:space="preserve">
319 with PHA</t>
        </r>
      </text>
    </comment>
    <comment ref="EH83"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4"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4"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4"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3" authorId="19" shapeId="0" xr:uid="{00000000-0006-0000-0400-00008B000000}">
      <text>
        <r>
          <rPr>
            <sz val="8"/>
            <color indexed="81"/>
            <rFont val="Tahoma"/>
            <family val="2"/>
          </rPr>
          <t>12/04 TEVA/RBXY agree to launch.
2/05 PFE granted injunction.
PRX/MYL have launched generics however</t>
        </r>
      </text>
    </comment>
    <comment ref="D94"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4"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4"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4"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4"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4"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4"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5"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6" authorId="21" shapeId="0" xr:uid="{00000000-0006-0000-0400-000094000000}">
      <text>
        <r>
          <rPr>
            <b/>
            <sz val="8"/>
            <color indexed="81"/>
            <rFont val="Tahoma"/>
            <family val="2"/>
          </rPr>
          <t>Bloomberg:</t>
        </r>
        <r>
          <rPr>
            <sz val="8"/>
            <color indexed="81"/>
            <rFont val="Tahoma"/>
            <family val="2"/>
          </rPr>
          <t xml:space="preserve">
Feb 08 expiry</t>
        </r>
      </text>
    </comment>
    <comment ref="EE96" authorId="20" shapeId="0" xr:uid="{00000000-0006-0000-0400-000095000000}">
      <text>
        <r>
          <rPr>
            <b/>
            <sz val="8"/>
            <color indexed="81"/>
            <rFont val="Tahoma"/>
            <family val="2"/>
          </rPr>
          <t>Martin Shkreli:</t>
        </r>
        <r>
          <rPr>
            <sz val="8"/>
            <color indexed="81"/>
            <rFont val="Tahoma"/>
            <family val="2"/>
          </rPr>
          <t xml:space="preserve">
416 with PHA</t>
        </r>
      </text>
    </comment>
    <comment ref="EI96" authorId="19" shapeId="0" xr:uid="{00000000-0006-0000-0400-000096000000}">
      <text>
        <r>
          <rPr>
            <b/>
            <sz val="8"/>
            <color indexed="81"/>
            <rFont val="Tahoma"/>
            <family val="2"/>
          </rPr>
          <t>mshkreli:</t>
        </r>
        <r>
          <rPr>
            <sz val="8"/>
            <color indexed="81"/>
            <rFont val="Tahoma"/>
            <family val="2"/>
          </rPr>
          <t xml:space="preserve">
August 2007 expiry</t>
        </r>
      </text>
    </comment>
    <comment ref="G97"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7"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7"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7"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7"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5" authorId="20" shapeId="0" xr:uid="{00000000-0006-0000-0400-00009C000000}">
      <text>
        <r>
          <rPr>
            <b/>
            <sz val="8"/>
            <color indexed="81"/>
            <rFont val="Tahoma"/>
            <family val="2"/>
          </rPr>
          <t>Martin Shkreli:</t>
        </r>
        <r>
          <rPr>
            <sz val="8"/>
            <color indexed="81"/>
            <rFont val="Tahoma"/>
            <family val="2"/>
          </rPr>
          <t xml:space="preserve">
Unasyn, Sulperazon</t>
        </r>
      </text>
    </comment>
    <comment ref="AU106"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6"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6"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6"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6"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6"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6"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6"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6"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6"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6"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6" authorId="20" shapeId="0" xr:uid="{00000000-0006-0000-0400-0000A7000000}">
      <text>
        <r>
          <rPr>
            <b/>
            <sz val="8"/>
            <color indexed="81"/>
            <rFont val="Tahoma"/>
            <family val="2"/>
          </rPr>
          <t>Martin Shkreli:</t>
        </r>
        <r>
          <rPr>
            <sz val="8"/>
            <color indexed="81"/>
            <rFont val="Tahoma"/>
            <family val="2"/>
          </rPr>
          <t xml:space="preserve">
189m endocrine</t>
        </r>
      </text>
    </comment>
    <comment ref="EG106"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6"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8" authorId="33" shapeId="0" xr:uid="{00000000-0006-0000-0400-00009D000000}">
      <text>
        <r>
          <rPr>
            <sz val="8"/>
            <color indexed="81"/>
            <rFont val="Tahoma"/>
            <family val="2"/>
          </rPr>
          <t>Dynastat</t>
        </r>
      </text>
    </comment>
    <comment ref="EF108" authorId="20" shapeId="0" xr:uid="{00000000-0006-0000-0400-00009E000000}">
      <text>
        <r>
          <rPr>
            <b/>
            <sz val="8"/>
            <color indexed="81"/>
            <rFont val="Tahoma"/>
            <family val="2"/>
          </rPr>
          <t>Martin Shkreli:</t>
        </r>
        <r>
          <rPr>
            <sz val="8"/>
            <color indexed="81"/>
            <rFont val="Tahoma"/>
            <family val="2"/>
          </rPr>
          <t xml:space="preserve">
MWD: 615</t>
        </r>
      </text>
    </comment>
    <comment ref="B109"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10" authorId="20" shapeId="0" xr:uid="{00000000-0006-0000-0400-0000A0000000}">
      <text>
        <r>
          <rPr>
            <b/>
            <sz val="8"/>
            <color indexed="81"/>
            <rFont val="Tahoma"/>
            <family val="2"/>
          </rPr>
          <t>Martin Shkreli:</t>
        </r>
        <r>
          <rPr>
            <sz val="8"/>
            <color indexed="81"/>
            <rFont val="Tahoma"/>
            <family val="2"/>
          </rPr>
          <t xml:space="preserve">
MS</t>
        </r>
      </text>
    </comment>
    <comment ref="EK111" authorId="17" shapeId="0" xr:uid="{00000000-0006-0000-0400-0000AA000000}">
      <text>
        <r>
          <rPr>
            <b/>
            <sz val="9"/>
            <color indexed="81"/>
            <rFont val="Tahoma"/>
            <family val="2"/>
          </rPr>
          <t>MSMB - Andre:</t>
        </r>
        <r>
          <rPr>
            <sz val="9"/>
            <color indexed="81"/>
            <rFont val="Tahoma"/>
            <family val="2"/>
          </rPr>
          <t xml:space="preserve">
3800 FY?</t>
        </r>
      </text>
    </comment>
    <comment ref="BK112" authorId="0" shapeId="0" xr:uid="{00000000-0006-0000-0400-0000AB000000}">
      <text>
        <r>
          <rPr>
            <b/>
            <sz val="9"/>
            <color indexed="81"/>
            <rFont val="Tahoma"/>
            <family val="2"/>
          </rPr>
          <t>Martin:</t>
        </r>
        <r>
          <rPr>
            <sz val="9"/>
            <color indexed="81"/>
            <rFont val="Tahoma"/>
            <family val="2"/>
          </rPr>
          <t xml:space="preserve">
Divested to Nestle for 12bn</t>
        </r>
      </text>
    </comment>
    <comment ref="EK112" authorId="17" shapeId="0" xr:uid="{00000000-0006-0000-0400-0000AC000000}">
      <text>
        <r>
          <rPr>
            <b/>
            <sz val="9"/>
            <color indexed="81"/>
            <rFont val="Tahoma"/>
            <family val="2"/>
          </rPr>
          <t>MSMB - Andre:</t>
        </r>
        <r>
          <rPr>
            <sz val="9"/>
            <color indexed="81"/>
            <rFont val="Tahoma"/>
            <family val="2"/>
          </rPr>
          <t xml:space="preserve">
1723 FY?</t>
        </r>
      </text>
    </comment>
    <comment ref="EN112" authorId="0" shapeId="0" xr:uid="{00000000-0006-0000-0400-0000AD000000}">
      <text>
        <r>
          <rPr>
            <b/>
            <sz val="9"/>
            <color indexed="81"/>
            <rFont val="Tahoma"/>
            <family val="2"/>
          </rPr>
          <t>Martin:</t>
        </r>
        <r>
          <rPr>
            <sz val="9"/>
            <color indexed="81"/>
            <rFont val="Tahoma"/>
            <family val="2"/>
          </rPr>
          <t xml:space="preserve">
Divested to Nestle for 12bn</t>
        </r>
      </text>
    </comment>
    <comment ref="AW114"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5" authorId="1" shapeId="0" xr:uid="{00000000-0006-0000-0400-0000AF000000}">
      <text>
        <r>
          <rPr>
            <b/>
            <sz val="9"/>
            <color indexed="81"/>
            <rFont val="Tahoma"/>
            <family val="2"/>
          </rPr>
          <t>MSMB:</t>
        </r>
        <r>
          <rPr>
            <sz val="9"/>
            <color indexed="81"/>
            <rFont val="Tahoma"/>
            <family val="2"/>
          </rPr>
          <t xml:space="preserve">
5369 WYE</t>
        </r>
      </text>
    </comment>
    <comment ref="AR115" authorId="1" shapeId="0" xr:uid="{00000000-0006-0000-0400-0000B0000000}">
      <text>
        <r>
          <rPr>
            <b/>
            <sz val="9"/>
            <color indexed="81"/>
            <rFont val="Tahoma"/>
            <family val="2"/>
          </rPr>
          <t>MSMB:</t>
        </r>
        <r>
          <rPr>
            <sz val="9"/>
            <color indexed="81"/>
            <rFont val="Tahoma"/>
            <family val="2"/>
          </rPr>
          <t xml:space="preserve">
5648 WYE</t>
        </r>
      </text>
    </comment>
    <comment ref="AS115" authorId="20" shapeId="0" xr:uid="{00000000-0006-0000-0400-0000B1000000}">
      <text>
        <r>
          <rPr>
            <b/>
            <sz val="8"/>
            <color indexed="81"/>
            <rFont val="Tahoma"/>
            <family val="2"/>
          </rPr>
          <t>Martin Shkreli:</t>
        </r>
        <r>
          <rPr>
            <sz val="8"/>
            <color indexed="81"/>
            <rFont val="Tahoma"/>
            <family val="2"/>
          </rPr>
          <t xml:space="preserve">
12012 bear
5620 WYE</t>
        </r>
      </text>
    </comment>
    <comment ref="AT115"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5" authorId="21" shapeId="0" xr:uid="{00000000-0006-0000-0400-0000B3000000}">
      <text>
        <r>
          <rPr>
            <b/>
            <sz val="8"/>
            <color indexed="81"/>
            <rFont val="Tahoma"/>
            <family val="2"/>
          </rPr>
          <t>Bloomberg:</t>
        </r>
        <r>
          <rPr>
            <sz val="8"/>
            <color indexed="81"/>
            <rFont val="Tahoma"/>
            <family val="2"/>
          </rPr>
          <t xml:space="preserve">
may decline y/y
5710 WYE</t>
        </r>
      </text>
    </comment>
    <comment ref="AV115" authorId="1" shapeId="0" xr:uid="{00000000-0006-0000-0400-0000B4000000}">
      <text>
        <r>
          <rPr>
            <b/>
            <sz val="9"/>
            <color indexed="81"/>
            <rFont val="Tahoma"/>
            <family val="2"/>
          </rPr>
          <t>MSMB:</t>
        </r>
        <r>
          <rPr>
            <sz val="9"/>
            <color indexed="81"/>
            <rFont val="Tahoma"/>
            <family val="2"/>
          </rPr>
          <t xml:space="preserve">
5945 WYE period</t>
        </r>
      </text>
    </comment>
    <comment ref="AW115"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5" authorId="1" shapeId="0" xr:uid="{00000000-0006-0000-0400-0000B6000000}">
      <text>
        <r>
          <rPr>
            <b/>
            <sz val="9"/>
            <color indexed="81"/>
            <rFont val="Tahoma"/>
            <family val="2"/>
          </rPr>
          <t>MSMB:</t>
        </r>
        <r>
          <rPr>
            <sz val="9"/>
            <color indexed="81"/>
            <rFont val="Tahoma"/>
            <family val="2"/>
          </rPr>
          <t xml:space="preserve">
5349 WYE</t>
        </r>
      </text>
    </comment>
    <comment ref="AY115" authorId="1" shapeId="0" xr:uid="{00000000-0006-0000-0400-0000B7000000}">
      <text>
        <r>
          <rPr>
            <b/>
            <sz val="9"/>
            <color indexed="81"/>
            <rFont val="Tahoma"/>
            <family val="2"/>
          </rPr>
          <t>MSMB:</t>
        </r>
        <r>
          <rPr>
            <sz val="9"/>
            <color indexed="81"/>
            <rFont val="Tahoma"/>
            <family val="2"/>
          </rPr>
          <t xml:space="preserve">
5377 WYE</t>
        </r>
      </text>
    </comment>
    <comment ref="AZ115"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5"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5" authorId="0" shapeId="0" xr:uid="{00000000-0006-0000-0400-0000BA000000}">
      <text>
        <r>
          <rPr>
            <b/>
            <sz val="9"/>
            <color indexed="81"/>
            <rFont val="Tahoma"/>
            <family val="2"/>
          </rPr>
          <t>Martin:</t>
        </r>
        <r>
          <rPr>
            <sz val="9"/>
            <color indexed="81"/>
            <rFont val="Tahoma"/>
            <family val="2"/>
          </rPr>
          <t xml:space="preserve">
16537 actual
15829 B of A</t>
        </r>
      </text>
    </comment>
    <comment ref="BC115" authorId="1" shapeId="0" xr:uid="{00000000-0006-0000-0400-0000BB000000}">
      <text>
        <r>
          <rPr>
            <b/>
            <sz val="9"/>
            <color indexed="81"/>
            <rFont val="Tahoma"/>
            <family val="2"/>
          </rPr>
          <t>MSMB:</t>
        </r>
        <r>
          <rPr>
            <sz val="9"/>
            <color indexed="81"/>
            <rFont val="Tahoma"/>
            <family val="2"/>
          </rPr>
          <t xml:space="preserve">
Reform impact of 56m</t>
        </r>
      </text>
    </comment>
    <comment ref="BD115"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5" authorId="0" shapeId="0" xr:uid="{00000000-0006-0000-0400-0000BD000000}">
      <text>
        <r>
          <rPr>
            <b/>
            <sz val="9"/>
            <color indexed="81"/>
            <rFont val="Tahoma"/>
            <family val="2"/>
          </rPr>
          <t>Martin:</t>
        </r>
        <r>
          <rPr>
            <sz val="9"/>
            <color indexed="81"/>
            <rFont val="Tahoma"/>
            <family val="2"/>
          </rPr>
          <t xml:space="preserve">
17561 actual</t>
        </r>
      </text>
    </comment>
    <comment ref="BO115" authorId="0" shapeId="0" xr:uid="{00000000-0006-0000-0400-0000BE000000}">
      <text>
        <r>
          <rPr>
            <b/>
            <sz val="9"/>
            <color indexed="81"/>
            <rFont val="Tahoma"/>
            <family val="2"/>
          </rPr>
          <t>Martin:</t>
        </r>
        <r>
          <rPr>
            <sz val="9"/>
            <color indexed="81"/>
            <rFont val="Tahoma"/>
            <family val="2"/>
          </rPr>
          <t xml:space="preserve">
13500 Actual</t>
        </r>
      </text>
    </comment>
    <comment ref="BP115" authorId="0" shapeId="0" xr:uid="{00000000-0006-0000-0400-0000BF000000}">
      <text>
        <r>
          <rPr>
            <b/>
            <sz val="9"/>
            <color indexed="81"/>
            <rFont val="Tahoma"/>
            <family val="2"/>
          </rPr>
          <t>Martin:</t>
        </r>
        <r>
          <rPr>
            <sz val="9"/>
            <color indexed="81"/>
            <rFont val="Tahoma"/>
            <family val="2"/>
          </rPr>
          <t xml:space="preserve">
12973 actual</t>
        </r>
      </text>
    </comment>
    <comment ref="BQ115" authorId="0" shapeId="0" xr:uid="{00000000-0006-0000-0400-0000C0000000}">
      <text>
        <r>
          <rPr>
            <b/>
            <sz val="9"/>
            <color indexed="81"/>
            <rFont val="Tahoma"/>
            <family val="2"/>
          </rPr>
          <t>Martin:</t>
        </r>
        <r>
          <rPr>
            <sz val="9"/>
            <color indexed="81"/>
            <rFont val="Tahoma"/>
            <family val="2"/>
          </rPr>
          <t xml:space="preserve">
GAAP 12643
Non-GAAP 12576</t>
        </r>
      </text>
    </comment>
    <comment ref="BR115" authorId="0" shapeId="0" xr:uid="{00000000-0006-0000-0400-0000C1000000}">
      <text>
        <r>
          <rPr>
            <b/>
            <sz val="9"/>
            <color indexed="81"/>
            <rFont val="Tahoma"/>
            <family val="2"/>
          </rPr>
          <t>Martin:</t>
        </r>
        <r>
          <rPr>
            <sz val="9"/>
            <color indexed="81"/>
            <rFont val="Tahoma"/>
            <family val="2"/>
          </rPr>
          <t xml:space="preserve">
GAAP 13558
Non-GAAP 13493</t>
        </r>
      </text>
    </comment>
    <comment ref="BS115"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5"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5"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5"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5"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5"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5"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5"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5"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5"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5"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5"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5"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5" authorId="20" shapeId="0" xr:uid="{DB3F395E-B211-4899-9C88-191EDE29F220}">
      <text>
        <r>
          <rPr>
            <b/>
            <sz val="9"/>
            <color indexed="81"/>
            <rFont val="Tahoma"/>
            <family val="2"/>
          </rPr>
          <t>Martin Shkreli:</t>
        </r>
        <r>
          <rPr>
            <sz val="9"/>
            <color indexed="81"/>
            <rFont val="Tahoma"/>
            <family val="2"/>
          </rPr>
          <t xml:space="preserve">
25,661m actual</t>
        </r>
      </text>
    </comment>
    <comment ref="CZ115"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5"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DF115" authorId="49" shapeId="0" xr:uid="{B52E5836-4F8C-4866-9C6F-CE1E866B9D46}">
      <text>
        <t>[Threaded comment]
Your version of Excel allows you to read this threaded comment; however, any edits to it will get removed if the file is opened in a newer version of Excel. Learn more: https://go.microsoft.com/fwlink/?linkid=870924
Comment:
    14,570 actual</t>
      </text>
    </comment>
    <comment ref="DJ115" authorId="50" shapeId="0" xr:uid="{CA858B5E-9054-46AF-AA9A-42623CE4A233}">
      <text>
        <t>[Threaded comment]
Your version of Excel allows you to read this threaded comment; however, any edits to it will get removed if the file is opened in a newer version of Excel. Learn more: https://go.microsoft.com/fwlink/?linkid=870924
Comment:
    17763 actual</t>
      </text>
    </comment>
    <comment ref="EC115" authorId="20" shapeId="0" xr:uid="{00000000-0006-0000-0400-0000C2000000}">
      <text>
        <r>
          <rPr>
            <b/>
            <sz val="8"/>
            <color indexed="81"/>
            <rFont val="Tahoma"/>
            <family val="2"/>
          </rPr>
          <t>Martin Shkreli:</t>
        </r>
        <r>
          <rPr>
            <sz val="8"/>
            <color indexed="81"/>
            <rFont val="Tahoma"/>
            <family val="2"/>
          </rPr>
          <t xml:space="preserve">
26593 actual</t>
        </r>
      </text>
    </comment>
    <comment ref="ED115" authorId="20" shapeId="0" xr:uid="{00000000-0006-0000-0400-0000C3000000}">
      <text>
        <r>
          <rPr>
            <b/>
            <sz val="8"/>
            <color indexed="81"/>
            <rFont val="Tahoma"/>
            <family val="2"/>
          </rPr>
          <t>Martin Shkreli:</t>
        </r>
        <r>
          <rPr>
            <sz val="8"/>
            <color indexed="81"/>
            <rFont val="Tahoma"/>
            <family val="2"/>
          </rPr>
          <t xml:space="preserve">
29758 actual</t>
        </r>
      </text>
    </comment>
    <comment ref="EE115"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5" authorId="20" shapeId="0" xr:uid="{00000000-0006-0000-0400-0000C5000000}">
      <text>
        <r>
          <rPr>
            <b/>
            <sz val="8"/>
            <color indexed="81"/>
            <rFont val="Tahoma"/>
            <family val="2"/>
          </rPr>
          <t>Martin Shkreli:</t>
        </r>
        <r>
          <rPr>
            <sz val="8"/>
            <color indexed="81"/>
            <rFont val="Tahoma"/>
            <family val="2"/>
          </rPr>
          <t xml:space="preserve">
48988 actual</t>
        </r>
      </text>
    </comment>
    <comment ref="EG115" authorId="19" shapeId="0" xr:uid="{00000000-0006-0000-0400-0000C6000000}">
      <text>
        <r>
          <rPr>
            <b/>
            <sz val="8"/>
            <color indexed="81"/>
            <rFont val="Tahoma"/>
            <family val="2"/>
          </rPr>
          <t>mshkreli:</t>
        </r>
        <r>
          <rPr>
            <sz val="8"/>
            <color indexed="81"/>
            <rFont val="Tahoma"/>
            <family val="2"/>
          </rPr>
          <t xml:space="preserve">
47405 actual</t>
        </r>
      </text>
    </comment>
    <comment ref="EH115"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5"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5"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5" authorId="17" shapeId="0" xr:uid="{00000000-0006-0000-0400-0000CA000000}">
      <text>
        <r>
          <rPr>
            <sz val="9"/>
            <color indexed="81"/>
            <rFont val="Tahoma"/>
            <family val="2"/>
          </rPr>
          <t>50009 final</t>
        </r>
      </text>
    </comment>
    <comment ref="EL115"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5" authorId="0" shapeId="0" xr:uid="{00000000-0006-0000-0400-0000CC000000}">
      <text>
        <r>
          <rPr>
            <b/>
            <sz val="9"/>
            <color indexed="81"/>
            <rFont val="Tahoma"/>
            <family val="2"/>
          </rPr>
          <t>Martin:</t>
        </r>
        <r>
          <rPr>
            <sz val="9"/>
            <color indexed="81"/>
            <rFont val="Tahoma"/>
            <family val="2"/>
          </rPr>
          <t xml:space="preserve">
Q111: 65.2-67.2
Q410: 66-68</t>
        </r>
      </text>
    </comment>
    <comment ref="EN115"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5" authorId="0" shapeId="0" xr:uid="{00000000-0006-0000-0400-0000CE000000}">
      <text>
        <r>
          <rPr>
            <b/>
            <sz val="9"/>
            <color indexed="81"/>
            <rFont val="Tahoma"/>
            <family val="2"/>
          </rPr>
          <t>Martin:</t>
        </r>
        <r>
          <rPr>
            <sz val="9"/>
            <color indexed="81"/>
            <rFont val="Tahoma"/>
            <family val="2"/>
          </rPr>
          <t xml:space="preserve">
51584 actual</t>
        </r>
      </text>
    </comment>
    <comment ref="EP115" authorId="0" shapeId="0" xr:uid="{00000000-0006-0000-0400-0000CF000000}">
      <text>
        <r>
          <rPr>
            <b/>
            <sz val="9"/>
            <color indexed="81"/>
            <rFont val="Tahoma"/>
            <family val="2"/>
          </rPr>
          <t>Martin:</t>
        </r>
        <r>
          <rPr>
            <sz val="9"/>
            <color indexed="81"/>
            <rFont val="Tahoma"/>
            <family val="2"/>
          </rPr>
          <t xml:space="preserve">
Q413: 49.2-51.2</t>
        </r>
      </text>
    </comment>
    <comment ref="EV115" authorId="20" shapeId="0" xr:uid="{9EE844CB-F20B-40EA-BA2C-38D05DC7B1CF}">
      <text>
        <r>
          <rPr>
            <b/>
            <sz val="9"/>
            <color indexed="81"/>
            <rFont val="Tahoma"/>
            <family val="2"/>
          </rPr>
          <t>Martin Shkreli:</t>
        </r>
        <r>
          <rPr>
            <sz val="9"/>
            <color indexed="81"/>
            <rFont val="Tahoma"/>
            <family val="2"/>
          </rPr>
          <t xml:space="preserve">
41651 actual</t>
        </r>
      </text>
    </comment>
    <comment ref="EW115" authorId="51"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5" authorId="52"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5" authorId="53"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
59,553 actual</t>
      </text>
    </comment>
    <comment ref="EZ115" authorId="54" shapeId="0" xr:uid="{1DF4C0C5-DE32-44FE-9A5D-47D60D334134}">
      <text>
        <t>[Threaded comment]
Your version of Excel allows you to read this threaded comment; however, any edits to it will get removed if the file is opened in a newer version of Excel. Learn more: https://go.microsoft.com/fwlink/?linkid=870924
Comment:
    Q3 2024: 61-64B guidance
63,627 actual</t>
      </text>
    </comment>
    <comment ref="FA115" authorId="55" shapeId="0" xr:uid="{15DC389D-A6C8-4A63-92A4-F8BED2930885}">
      <text>
        <t>[Threaded comment]
Your version of Excel allows you to read this threaded comment; however, any edits to it will get removed if the file is opened in a newer version of Excel. Learn more: https://go.microsoft.com/fwlink/?linkid=870924
Comment:
    61-64B guidance</t>
      </text>
    </comment>
    <comment ref="FF115" authorId="56"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6" authorId="20" shapeId="0" xr:uid="{00000000-0006-0000-0400-0000D0000000}">
      <text>
        <r>
          <rPr>
            <b/>
            <sz val="8"/>
            <color indexed="81"/>
            <rFont val="Tahoma"/>
            <family val="2"/>
          </rPr>
          <t>Martin Shkreli:</t>
        </r>
        <r>
          <rPr>
            <sz val="8"/>
            <color indexed="81"/>
            <rFont val="Tahoma"/>
            <family val="2"/>
          </rPr>
          <t xml:space="preserve">
Excludes ATS costs</t>
        </r>
      </text>
    </comment>
    <comment ref="AR116"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FC116" authorId="57" shapeId="0" xr:uid="{2A72A121-4E72-4720-BD91-49E44ABB0622}">
      <text>
        <t>[Threaded comment]
Your version of Excel allows you to read this threaded comment; however, any edits to it will get removed if the file is opened in a newer version of Excel. Learn more: https://go.microsoft.com/fwlink/?linkid=870924
Comment:
    Q324: 1.5B reduction by 2027</t>
      </text>
    </comment>
    <comment ref="Y118" authorId="58" shapeId="0" xr:uid="{00000000-0006-0000-0400-0000D2000000}">
      <text>
        <r>
          <rPr>
            <b/>
            <sz val="8"/>
            <color indexed="81"/>
            <rFont val="Tahoma"/>
            <family val="2"/>
          </rPr>
          <t>Authorized User:</t>
        </r>
        <r>
          <rPr>
            <sz val="8"/>
            <color indexed="81"/>
            <rFont val="Tahoma"/>
            <family val="2"/>
          </rPr>
          <t xml:space="preserve">
less $10 mm litigation charge</t>
        </r>
      </text>
    </comment>
    <comment ref="AR118" authorId="20" shapeId="0" xr:uid="{00000000-0006-0000-0400-0000D3000000}">
      <text>
        <r>
          <rPr>
            <b/>
            <sz val="8"/>
            <color indexed="81"/>
            <rFont val="Tahoma"/>
            <family val="2"/>
          </rPr>
          <t>Martin Shkreli:</t>
        </r>
        <r>
          <rPr>
            <sz val="8"/>
            <color indexed="81"/>
            <rFont val="Tahoma"/>
            <family val="2"/>
          </rPr>
          <t xml:space="preserve">
excludes 79m ATS</t>
        </r>
      </text>
    </comment>
    <comment ref="BB118" authorId="0" shapeId="0" xr:uid="{00000000-0006-0000-0400-0000D4000000}">
      <text>
        <r>
          <rPr>
            <b/>
            <sz val="9"/>
            <color indexed="81"/>
            <rFont val="Tahoma"/>
            <family val="2"/>
          </rPr>
          <t>Martin:</t>
        </r>
        <r>
          <rPr>
            <sz val="9"/>
            <color indexed="81"/>
            <rFont val="Tahoma"/>
            <family val="2"/>
          </rPr>
          <t xml:space="preserve">
4527 B of A</t>
        </r>
      </text>
    </comment>
    <comment ref="EI118" authorId="20" shapeId="0" xr:uid="{00000000-0006-0000-0400-0000D5000000}">
      <text>
        <r>
          <rPr>
            <b/>
            <sz val="8"/>
            <color indexed="81"/>
            <rFont val="Tahoma"/>
            <family val="2"/>
          </rPr>
          <t>Martin Shkreli:</t>
        </r>
        <r>
          <rPr>
            <sz val="8"/>
            <color indexed="81"/>
            <rFont val="Tahoma"/>
            <family val="2"/>
          </rPr>
          <t xml:space="preserve">
15.2bn guidance</t>
        </r>
      </text>
    </comment>
    <comment ref="EJ118"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8"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8" authorId="0" shapeId="0" xr:uid="{00000000-0006-0000-0400-0000D8000000}">
      <text>
        <r>
          <rPr>
            <b/>
            <sz val="9"/>
            <color indexed="81"/>
            <rFont val="Tahoma"/>
            <family val="2"/>
          </rPr>
          <t>Martin:</t>
        </r>
        <r>
          <rPr>
            <sz val="9"/>
            <color indexed="81"/>
            <rFont val="Tahoma"/>
            <family val="2"/>
          </rPr>
          <t xml:space="preserve">
Q410: 19.2-20.2</t>
        </r>
      </text>
    </comment>
    <comment ref="EN118" authorId="0" shapeId="0" xr:uid="{00000000-0006-0000-0400-0000D9000000}">
      <text>
        <r>
          <rPr>
            <sz val="9"/>
            <color indexed="81"/>
            <rFont val="Tahoma"/>
            <family val="2"/>
          </rPr>
          <t>Q112: 16.3-17.3
Q411: 17.0-18.0
Q410: 17.5-18.5</t>
        </r>
      </text>
    </comment>
    <comment ref="EX118" authorId="59"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8" authorId="60"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EZ118" authorId="61" shapeId="0" xr:uid="{2A6A2086-80E6-4254-8F23-FA6D1A8F3348}">
      <text>
        <t>[Threaded comment]
Your version of Excel allows you to read this threaded comment; however, any edits to it will get removed if the file is opened in a newer version of Excel. Learn more: https://go.microsoft.com/fwlink/?linkid=870924
Comment:
    Q424: 13.3-14.3B</t>
      </text>
    </comment>
    <comment ref="AR119"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9" authorId="0" shapeId="0" xr:uid="{00000000-0006-0000-0400-0000DB000000}">
      <text>
        <r>
          <rPr>
            <b/>
            <sz val="9"/>
            <color indexed="81"/>
            <rFont val="Tahoma"/>
            <family val="2"/>
          </rPr>
          <t>Martin:</t>
        </r>
        <r>
          <rPr>
            <sz val="9"/>
            <color indexed="81"/>
            <rFont val="Tahoma"/>
            <family val="2"/>
          </rPr>
          <t xml:space="preserve">
2739 B of A</t>
        </r>
      </text>
    </comment>
    <comment ref="CU119" authorId="62"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9" authorId="63"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9" authorId="20" shapeId="0" xr:uid="{00000000-0006-0000-0400-0000DC000000}">
      <text>
        <r>
          <rPr>
            <b/>
            <sz val="8"/>
            <color indexed="81"/>
            <rFont val="Tahoma"/>
            <family val="2"/>
          </rPr>
          <t>Martin Shkreli:</t>
        </r>
        <r>
          <rPr>
            <sz val="8"/>
            <color indexed="81"/>
            <rFont val="Tahoma"/>
            <family val="2"/>
          </rPr>
          <t xml:space="preserve">
7.5bn</t>
        </r>
      </text>
    </comment>
    <comment ref="EL119"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9" authorId="0" shapeId="0" xr:uid="{00000000-0006-0000-0400-0000DE000000}">
      <text>
        <r>
          <rPr>
            <b/>
            <sz val="9"/>
            <color indexed="81"/>
            <rFont val="Tahoma"/>
            <family val="2"/>
          </rPr>
          <t>Martin:</t>
        </r>
        <r>
          <rPr>
            <sz val="9"/>
            <color indexed="81"/>
            <rFont val="Tahoma"/>
            <family val="2"/>
          </rPr>
          <t xml:space="preserve">
Q410: 8.0-8.5</t>
        </r>
      </text>
    </comment>
    <comment ref="EN119" authorId="1" shapeId="0" xr:uid="{00000000-0006-0000-0400-0000DF000000}">
      <text>
        <r>
          <rPr>
            <sz val="9"/>
            <color indexed="81"/>
            <rFont val="Tahoma"/>
            <family val="2"/>
          </rPr>
          <t>Q112: 6.5-7.0
Q410: 6.5-7.0
Q110: 8.0-8.5 guidance
Q409: 8.0-8.5</t>
        </r>
      </text>
    </comment>
    <comment ref="EX119" authorId="64"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9" authorId="65"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EZ119" authorId="66" shapeId="0" xr:uid="{22C14416-C1C4-4F22-8E97-A7F4179DA791}">
      <text>
        <t>[Threaded comment]
Your version of Excel allows you to read this threaded comment; however, any edits to it will get removed if the file is opened in a newer version of Excel. Learn more: https://go.microsoft.com/fwlink/?linkid=870924
Comment:
    Q424: 10.7-11.7
4B cost reduction savings</t>
      </text>
    </comment>
    <comment ref="CW120" authorId="67"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1" authorId="68"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1" authorId="69"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1"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1"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1" authorId="70"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3"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5" authorId="71"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EZ125" authorId="72" shapeId="0" xr:uid="{21A04DF6-628E-420C-99DD-4083E0B22C45}">
      <text>
        <t>[Threaded comment]
Your version of Excel allows you to read this threaded comment; however, any edits to it will get removed if the file is opened in a newer version of Excel. Learn more: https://go.microsoft.com/fwlink/?linkid=870924
Comment:
    Q424: 15% tax rate</t>
      </text>
    </comment>
    <comment ref="AR126" authorId="1" shapeId="0" xr:uid="{00000000-0006-0000-0400-0000E1000000}">
      <text>
        <r>
          <rPr>
            <b/>
            <sz val="9"/>
            <color indexed="81"/>
            <rFont val="Tahoma"/>
            <family val="2"/>
          </rPr>
          <t>MSMB:</t>
        </r>
        <r>
          <rPr>
            <sz val="9"/>
            <color indexed="81"/>
            <rFont val="Tahoma"/>
            <family val="2"/>
          </rPr>
          <t xml:space="preserve">
2944 adjusted NI</t>
        </r>
      </text>
    </comment>
    <comment ref="CL126" authorId="73"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6" authorId="74"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6" authorId="75"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6" authorId="76"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6" authorId="77"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6" authorId="78"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6" authorId="79"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6" authorId="80"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6" authorId="81"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6" authorId="82"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6" authorId="83"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6" authorId="84"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6" authorId="85"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DF126" authorId="86" shapeId="0" xr:uid="{6179C016-99FD-47EB-9B08-9611106B4E68}">
      <text>
        <t>[Threaded comment]
Your version of Excel allows you to read this threaded comment; however, any edits to it will get removed if the file is opened in a newer version of Excel. Learn more: https://go.microsoft.com/fwlink/?linkid=870924
Comment:
    593 adj NI</t>
      </text>
    </comment>
    <comment ref="DJ126" authorId="87" shapeId="0" xr:uid="{598222A9-21C8-4D19-9844-EEEC829C168A}">
      <text>
        <t>[Threaded comment]
Your version of Excel allows you to read this threaded comment; however, any edits to it will get removed if the file is opened in a newer version of Excel. Learn more: https://go.microsoft.com/fwlink/?linkid=870924
Comment:
    3592 adj NI</t>
      </text>
    </comment>
    <comment ref="EK126" authorId="0" shapeId="0" xr:uid="{00000000-0006-0000-0400-0000E2000000}">
      <text>
        <r>
          <rPr>
            <b/>
            <sz val="9"/>
            <color indexed="81"/>
            <rFont val="Tahoma"/>
            <family val="2"/>
          </rPr>
          <t>Martin:</t>
        </r>
        <r>
          <rPr>
            <sz val="9"/>
            <color indexed="81"/>
            <rFont val="Tahoma"/>
            <family val="2"/>
          </rPr>
          <t xml:space="preserve">
14202 final</t>
        </r>
      </text>
    </comment>
    <comment ref="EL126" authorId="0" shapeId="0" xr:uid="{00000000-0006-0000-0400-0000E3000000}">
      <text>
        <r>
          <rPr>
            <b/>
            <sz val="9"/>
            <color indexed="81"/>
            <rFont val="Tahoma"/>
            <family val="2"/>
          </rPr>
          <t>Martin:</t>
        </r>
        <r>
          <rPr>
            <sz val="9"/>
            <color indexed="81"/>
            <rFont val="Tahoma"/>
            <family val="2"/>
          </rPr>
          <t xml:space="preserve">
17983 final</t>
        </r>
      </text>
    </comment>
    <comment ref="EN126" authorId="0" shapeId="0" xr:uid="{00000000-0006-0000-0400-0000E4000000}">
      <text>
        <r>
          <rPr>
            <b/>
            <sz val="9"/>
            <color indexed="81"/>
            <rFont val="Tahoma"/>
            <family val="2"/>
          </rPr>
          <t>Martin:</t>
        </r>
        <r>
          <rPr>
            <sz val="9"/>
            <color indexed="81"/>
            <rFont val="Tahoma"/>
            <family val="2"/>
          </rPr>
          <t xml:space="preserve">
Q112: 19bn CF</t>
        </r>
      </text>
    </comment>
    <comment ref="EV126" authorId="88"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6" authorId="89"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EY126" authorId="90" shapeId="0" xr:uid="{0695F87C-27FD-450E-9869-B928F75C3FA1}">
      <text>
        <t>[Threaded comment]
Your version of Excel allows you to read this threaded comment; however, any edits to it will get removed if the file is opened in a newer version of Excel. Learn more: https://go.microsoft.com/fwlink/?linkid=870924
Comment:
    10501 adj NI</t>
      </text>
    </comment>
    <comment ref="EZ126" authorId="91" shapeId="0" xr:uid="{715694F3-C9BD-4901-8238-EF210F261DD6}">
      <text>
        <t>[Threaded comment]
Your version of Excel allows you to read this threaded comment; however, any edits to it will get removed if the file is opened in a newer version of Excel. Learn more: https://go.microsoft.com/fwlink/?linkid=870924
Comment:
    17716 adj NI</t>
      </text>
    </comment>
    <comment ref="BB127" authorId="0" shapeId="0" xr:uid="{00000000-0006-0000-0400-0000E5000000}">
      <text>
        <r>
          <rPr>
            <b/>
            <sz val="9"/>
            <color indexed="81"/>
            <rFont val="Tahoma"/>
            <family val="2"/>
          </rPr>
          <t>Martin:</t>
        </r>
        <r>
          <rPr>
            <sz val="9"/>
            <color indexed="81"/>
            <rFont val="Tahoma"/>
            <family val="2"/>
          </rPr>
          <t xml:space="preserve">
0.49 final</t>
        </r>
      </text>
    </comment>
    <comment ref="BF127" authorId="0" shapeId="0" xr:uid="{00000000-0006-0000-0400-0000E6000000}">
      <text>
        <r>
          <rPr>
            <b/>
            <sz val="9"/>
            <color indexed="81"/>
            <rFont val="Tahoma"/>
            <family val="2"/>
          </rPr>
          <t>Martin:</t>
        </r>
        <r>
          <rPr>
            <sz val="9"/>
            <color indexed="81"/>
            <rFont val="Tahoma"/>
            <family val="2"/>
          </rPr>
          <t xml:space="preserve">
.47 final</t>
        </r>
      </text>
    </comment>
    <comment ref="CT127" authorId="92"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7" authorId="20" shapeId="0" xr:uid="{4F3F2BC3-E30D-4D47-A849-8A5CEFE1BB39}">
      <text>
        <r>
          <rPr>
            <b/>
            <sz val="9"/>
            <color indexed="81"/>
            <rFont val="Tahoma"/>
            <family val="2"/>
          </rPr>
          <t>Martin Shkreli:</t>
        </r>
        <r>
          <rPr>
            <sz val="9"/>
            <color indexed="81"/>
            <rFont val="Tahoma"/>
            <family val="2"/>
          </rPr>
          <t xml:space="preserve">
adj EPS 0.95</t>
        </r>
      </text>
    </comment>
    <comment ref="CV127" authorId="93"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7" authorId="94"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7" authorId="95"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7" authorId="96"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DF127" authorId="97" shapeId="0" xr:uid="{EF400A61-8487-4955-8D65-26C556923255}">
      <text>
        <t>[Threaded comment]
Your version of Excel allows you to read this threaded comment; however, any edits to it will get removed if the file is opened in a newer version of Excel. Learn more: https://go.microsoft.com/fwlink/?linkid=870924
Comment:
    0.10 adj EPS</t>
      </text>
    </comment>
    <comment ref="DJ127" authorId="98" shapeId="0" xr:uid="{E2B201B5-FB54-472B-934B-865B93C95ABF}">
      <text>
        <t>[Threaded comment]
Your version of Excel allows you to read this threaded comment; however, any edits to it will get removed if the file is opened in a newer version of Excel. Learn more: https://go.microsoft.com/fwlink/?linkid=870924
Comment:
    0.63 adjusted diluted EPS</t>
      </text>
    </comment>
    <comment ref="EH127" authorId="1" shapeId="0" xr:uid="{00000000-0006-0000-0400-0000E7000000}">
      <text>
        <r>
          <rPr>
            <b/>
            <sz val="9"/>
            <color indexed="81"/>
            <rFont val="Tahoma"/>
            <family val="2"/>
          </rPr>
          <t>MSMB:</t>
        </r>
        <r>
          <rPr>
            <sz val="9"/>
            <color indexed="81"/>
            <rFont val="Tahoma"/>
            <family val="2"/>
          </rPr>
          <t xml:space="preserve">
2.00 guidance?</t>
        </r>
      </text>
    </comment>
    <comment ref="EI127" authorId="20" shapeId="0" xr:uid="{00000000-0006-0000-0400-0000E8000000}">
      <text>
        <r>
          <rPr>
            <b/>
            <sz val="8"/>
            <color indexed="81"/>
            <rFont val="Tahoma"/>
            <family val="2"/>
          </rPr>
          <t>Martin Shkreli:</t>
        </r>
        <r>
          <rPr>
            <sz val="8"/>
            <color indexed="81"/>
            <rFont val="Tahoma"/>
            <family val="2"/>
          </rPr>
          <t xml:space="preserve">
2.08-2.15 guidance</t>
        </r>
      </text>
    </comment>
    <comment ref="EJ127" authorId="20" shapeId="0" xr:uid="{00000000-0006-0000-0400-0000E9000000}">
      <text>
        <r>
          <rPr>
            <b/>
            <sz val="8"/>
            <color indexed="81"/>
            <rFont val="Tahoma"/>
            <family val="2"/>
          </rPr>
          <t>Martin Shkreli:</t>
        </r>
        <r>
          <rPr>
            <sz val="8"/>
            <color indexed="81"/>
            <rFont val="Tahoma"/>
            <family val="2"/>
          </rPr>
          <t xml:space="preserve">
Q308: 2.36-2.41
2.31-2.45</t>
        </r>
      </text>
    </comment>
    <comment ref="EK127" authorId="0" shapeId="0" xr:uid="{00000000-0006-0000-0400-0000EA000000}">
      <text>
        <r>
          <rPr>
            <b/>
            <sz val="9"/>
            <color indexed="81"/>
            <rFont val="Tahoma"/>
            <family val="2"/>
          </rPr>
          <t>Martin:</t>
        </r>
        <r>
          <rPr>
            <sz val="9"/>
            <color indexed="81"/>
            <rFont val="Tahoma"/>
            <family val="2"/>
          </rPr>
          <t xml:space="preserve">
2.02 final</t>
        </r>
      </text>
    </comment>
    <comment ref="EL127"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7" authorId="0" shapeId="0" xr:uid="{00000000-0006-0000-0400-0000EC000000}">
      <text>
        <r>
          <rPr>
            <sz val="9"/>
            <color indexed="81"/>
            <rFont val="Tahoma"/>
            <family val="2"/>
          </rPr>
          <t>Q111: 2.16-2.26
Q410: 2.16-2.26</t>
        </r>
      </text>
    </comment>
    <comment ref="EN127" authorId="0" shapeId="0" xr:uid="{00000000-0006-0000-0400-0000ED000000}">
      <text>
        <r>
          <rPr>
            <sz val="9"/>
            <color indexed="81"/>
            <rFont val="Tahoma"/>
            <family val="2"/>
          </rPr>
          <t>Q111: 2.25-2.35
Q410: 2.25-2.35
Q110: 2.25-2.35
Q409: 2.25-2.35</t>
        </r>
      </text>
    </comment>
    <comment ref="EP127" authorId="0" shapeId="0" xr:uid="{00000000-0006-0000-0400-0000EE000000}">
      <text>
        <r>
          <rPr>
            <b/>
            <sz val="9"/>
            <color indexed="81"/>
            <rFont val="Tahoma"/>
            <family val="2"/>
          </rPr>
          <t>Martin:</t>
        </r>
        <r>
          <rPr>
            <sz val="9"/>
            <color indexed="81"/>
            <rFont val="Tahoma"/>
            <family val="2"/>
          </rPr>
          <t xml:space="preserve">
Q413: 2.20-2.30</t>
        </r>
      </text>
    </comment>
    <comment ref="EV127" authorId="99"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7" authorId="100"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7" authorId="101"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EY127" authorId="102" shapeId="0" xr:uid="{65C746EA-BD4D-4CAD-AD24-3141C7528F27}">
      <text>
        <t>[Threaded comment]
Your version of Excel allows you to read this threaded comment; however, any edits to it will get removed if the file is opened in a newer version of Excel. Learn more: https://go.microsoft.com/fwlink/?linkid=870924
Comment:
    1.84 adj EPS</t>
      </text>
    </comment>
    <comment ref="EZ127" authorId="103" shapeId="0" xr:uid="{8D72EABE-94D0-4B4D-AEB7-82FA7570459B}">
      <text>
        <t>[Threaded comment]
Your version of Excel allows you to read this threaded comment; however, any edits to it will get removed if the file is opened in a newer version of Excel. Learn more: https://go.microsoft.com/fwlink/?linkid=870924
Comment:
    Q3 2024 guidance: 2.75-2.95
3.11 adjusted diluted EPS</t>
      </text>
    </comment>
    <comment ref="FA127" authorId="104" shapeId="0" xr:uid="{4D62E576-8008-4ADF-AEDA-360EEA41415D}">
      <text>
        <t>[Threaded comment]
Your version of Excel allows you to read this threaded comment; however, any edits to it will get removed if the file is opened in a newer version of Excel. Learn more: https://go.microsoft.com/fwlink/?linkid=870924
Comment:
    Q424: 2.80-3.10</t>
      </text>
    </comment>
    <comment ref="AQ128"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8" authorId="20" shapeId="0" xr:uid="{00000000-0006-0000-0400-0000F0000000}">
      <text>
        <r>
          <rPr>
            <b/>
            <sz val="8"/>
            <color indexed="81"/>
            <rFont val="Tahoma"/>
            <family val="2"/>
          </rPr>
          <t>Martin Shkreli:</t>
        </r>
        <r>
          <rPr>
            <sz val="8"/>
            <color indexed="81"/>
            <rFont val="Tahoma"/>
            <family val="2"/>
          </rPr>
          <t xml:space="preserve">
10B buyback</t>
        </r>
      </text>
    </comment>
    <comment ref="EX128" authorId="105"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30"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30" authorId="0" shapeId="0" xr:uid="{00000000-0006-0000-0400-0000F2000000}">
      <text>
        <r>
          <rPr>
            <b/>
            <sz val="9"/>
            <color indexed="81"/>
            <rFont val="Tahoma"/>
            <family val="2"/>
          </rPr>
          <t>Martin:</t>
        </r>
        <r>
          <rPr>
            <sz val="9"/>
            <color indexed="81"/>
            <rFont val="Tahoma"/>
            <family val="2"/>
          </rPr>
          <t xml:space="preserve">
80bps FX impact</t>
        </r>
      </text>
    </comment>
    <comment ref="EI130"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30"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30"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30" authorId="106"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30" authorId="107"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4" authorId="20" shapeId="0" xr:uid="{00000000-0006-0000-0400-0000F6000000}">
      <text>
        <r>
          <rPr>
            <b/>
            <sz val="8"/>
            <color indexed="81"/>
            <rFont val="Tahoma"/>
            <family val="2"/>
          </rPr>
          <t>Martin Shkreli:</t>
        </r>
        <r>
          <rPr>
            <sz val="8"/>
            <color indexed="81"/>
            <rFont val="Tahoma"/>
            <family val="2"/>
          </rPr>
          <t xml:space="preserve">
22% guidance</t>
        </r>
      </text>
    </comment>
    <comment ref="EJ134" authorId="20" shapeId="0" xr:uid="{00000000-0006-0000-0400-0000F7000000}">
      <text>
        <r>
          <rPr>
            <b/>
            <sz val="8"/>
            <color indexed="81"/>
            <rFont val="Tahoma"/>
            <family val="2"/>
          </rPr>
          <t>Martin Shkreli:</t>
        </r>
        <r>
          <rPr>
            <sz val="8"/>
            <color indexed="81"/>
            <rFont val="Tahoma"/>
            <family val="2"/>
          </rPr>
          <t xml:space="preserve">
22-22.5%</t>
        </r>
      </text>
    </comment>
    <comment ref="EL134" authorId="1" shapeId="0" xr:uid="{00000000-0006-0000-0400-0000F8000000}">
      <text>
        <r>
          <rPr>
            <b/>
            <sz val="9"/>
            <color indexed="81"/>
            <rFont val="Tahoma"/>
            <family val="2"/>
          </rPr>
          <t>MSMB:</t>
        </r>
        <r>
          <rPr>
            <sz val="9"/>
            <color indexed="81"/>
            <rFont val="Tahoma"/>
            <family val="2"/>
          </rPr>
          <t xml:space="preserve">
Q110: 30%
Q409: 30%</t>
        </r>
      </text>
    </comment>
    <comment ref="EM134" authorId="0" shapeId="0" xr:uid="{00000000-0006-0000-0400-0000F9000000}">
      <text>
        <r>
          <rPr>
            <b/>
            <sz val="9"/>
            <color indexed="81"/>
            <rFont val="Tahoma"/>
            <family val="2"/>
          </rPr>
          <t>Martin:</t>
        </r>
        <r>
          <rPr>
            <sz val="9"/>
            <color indexed="81"/>
            <rFont val="Tahoma"/>
            <family val="2"/>
          </rPr>
          <t xml:space="preserve">
Q410: 29%</t>
        </r>
      </text>
    </comment>
    <comment ref="EN134" authorId="0" shapeId="0" xr:uid="{00000000-0006-0000-0400-0000FA000000}">
      <text>
        <r>
          <rPr>
            <b/>
            <sz val="9"/>
            <color indexed="81"/>
            <rFont val="Tahoma"/>
            <family val="2"/>
          </rPr>
          <t>Martin:</t>
        </r>
        <r>
          <rPr>
            <sz val="9"/>
            <color indexed="81"/>
            <rFont val="Tahoma"/>
            <family val="2"/>
          </rPr>
          <t xml:space="preserve">
Q112: 29%
Q410: 29%
Q310: 30%</t>
        </r>
      </text>
    </comment>
    <comment ref="EX134" authorId="108"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8" authorId="1" shapeId="0" xr:uid="{00000000-0006-0000-0400-0000FB000000}">
      <text>
        <r>
          <rPr>
            <b/>
            <sz val="9"/>
            <color indexed="81"/>
            <rFont val="Tahoma"/>
            <family val="2"/>
          </rPr>
          <t>MSMB:</t>
        </r>
        <r>
          <rPr>
            <sz val="9"/>
            <color indexed="81"/>
            <rFont val="Tahoma"/>
            <family val="2"/>
          </rPr>
          <t xml:space="preserve">
610m unfavorable revenue</t>
        </r>
      </text>
    </comment>
    <comment ref="BB138" authorId="1" shapeId="0" xr:uid="{00000000-0006-0000-0400-0000FC000000}">
      <text>
        <r>
          <rPr>
            <b/>
            <sz val="9"/>
            <color indexed="81"/>
            <rFont val="Tahoma"/>
            <family val="2"/>
          </rPr>
          <t>MSMB:</t>
        </r>
        <r>
          <rPr>
            <sz val="9"/>
            <color indexed="81"/>
            <rFont val="Tahoma"/>
            <family val="2"/>
          </rPr>
          <t xml:space="preserve">
469m favorable revenue</t>
        </r>
      </text>
    </comment>
    <comment ref="BC138"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8" authorId="1" shapeId="0" xr:uid="{00000000-0006-0000-0400-0000FE000000}">
      <text>
        <r>
          <rPr>
            <b/>
            <sz val="9"/>
            <color indexed="81"/>
            <rFont val="Tahoma"/>
            <family val="2"/>
          </rPr>
          <t>MSMB:</t>
        </r>
        <r>
          <rPr>
            <sz val="9"/>
            <color indexed="81"/>
            <rFont val="Tahoma"/>
            <family val="2"/>
          </rPr>
          <t xml:space="preserve">
1800m unfavorable</t>
        </r>
      </text>
    </comment>
    <comment ref="BF139" authorId="0" shapeId="0" xr:uid="{00000000-0006-0000-0400-0000FF000000}">
      <text>
        <r>
          <rPr>
            <b/>
            <sz val="9"/>
            <color indexed="81"/>
            <rFont val="Tahoma"/>
            <family val="2"/>
          </rPr>
          <t>Martin:</t>
        </r>
        <r>
          <rPr>
            <sz val="9"/>
            <color indexed="81"/>
            <rFont val="Tahoma"/>
            <family val="2"/>
          </rPr>
          <t xml:space="preserve">
14% positive impact from Wyeth</t>
        </r>
      </text>
    </comment>
    <comment ref="CX140" authorId="20" shapeId="0" xr:uid="{F41B9F18-0548-4B68-9652-1B906713A249}">
      <text>
        <r>
          <rPr>
            <b/>
            <sz val="9"/>
            <color indexed="81"/>
            <rFont val="Tahoma"/>
            <family val="2"/>
          </rPr>
          <t>Martin Shkreli:</t>
        </r>
        <r>
          <rPr>
            <sz val="9"/>
            <color indexed="81"/>
            <rFont val="Tahoma"/>
            <family val="2"/>
          </rPr>
          <t xml:space="preserve">
-2% ex-COVID</t>
        </r>
      </text>
    </comment>
    <comment ref="CY140" authorId="20" shapeId="0" xr:uid="{FC1212FE-47DB-4A94-AC2E-97336D5FE11A}">
      <text>
        <r>
          <rPr>
            <b/>
            <sz val="9"/>
            <color indexed="81"/>
            <rFont val="Tahoma"/>
            <family val="2"/>
          </rPr>
          <t>Martin Shkreli:</t>
        </r>
        <r>
          <rPr>
            <sz val="9"/>
            <color indexed="81"/>
            <rFont val="Tahoma"/>
            <family val="2"/>
          </rPr>
          <t xml:space="preserve">
+2% ex-COVID</t>
        </r>
      </text>
    </comment>
    <comment ref="CZ140" authorId="109"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DI140" authorId="110" shapeId="0" xr:uid="{B30FCB0D-D6BD-47D4-99C8-6CF789D7E8FB}">
      <text>
        <t>[Threaded comment]
Your version of Excel allows you to read this threaded comment; however, any edits to it will get removed if the file is opened in a newer version of Excel. Learn more: https://go.microsoft.com/fwlink/?linkid=870924
Comment:
    14% excluding COVID-19</t>
      </text>
    </comment>
    <comment ref="DJ140" authorId="111" shapeId="0" xr:uid="{3D7CF891-C6FB-4818-8568-C7763AA6EF7F}">
      <text>
        <t>[Threaded comment]
Your version of Excel allows you to read this threaded comment; however, any edits to it will get removed if the file is opened in a newer version of Excel. Learn more: https://go.microsoft.com/fwlink/?linkid=870924
Comment:
    Excluding Paxlovid/Comirnaty, otherwise +21%</t>
      </text>
    </comment>
    <comment ref="EW140" authorId="112"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9" authorId="113"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9" authorId="114"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2" authorId="1" shapeId="0" xr:uid="{00000000-0006-0000-0400-000000010000}">
      <text>
        <r>
          <rPr>
            <b/>
            <sz val="9"/>
            <color indexed="81"/>
            <rFont val="Tahoma"/>
            <family val="2"/>
          </rPr>
          <t>MSMB:</t>
        </r>
        <r>
          <rPr>
            <sz val="9"/>
            <color indexed="81"/>
            <rFont val="Tahoma"/>
            <family val="2"/>
          </rPr>
          <t xml:space="preserve">
11990 GAAP</t>
        </r>
      </text>
    </comment>
    <comment ref="AT212" authorId="1" shapeId="0" xr:uid="{00000000-0006-0000-0400-000001010000}">
      <text>
        <r>
          <rPr>
            <b/>
            <sz val="9"/>
            <color indexed="81"/>
            <rFont val="Tahoma"/>
            <family val="2"/>
          </rPr>
          <t>MSMB:</t>
        </r>
        <r>
          <rPr>
            <sz val="9"/>
            <color indexed="81"/>
            <rFont val="Tahoma"/>
            <family val="2"/>
          </rPr>
          <t xml:space="preserve">
13065 GAAP</t>
        </r>
      </text>
    </comment>
    <comment ref="AU212" authorId="1" shapeId="0" xr:uid="{00000000-0006-0000-0400-000002010000}">
      <text>
        <r>
          <rPr>
            <b/>
            <sz val="9"/>
            <color indexed="81"/>
            <rFont val="Tahoma"/>
            <family val="2"/>
          </rPr>
          <t>MSMB:</t>
        </r>
        <r>
          <rPr>
            <sz val="9"/>
            <color indexed="81"/>
            <rFont val="Tahoma"/>
            <family val="2"/>
          </rPr>
          <t xml:space="preserve">
11848 GAAP</t>
        </r>
      </text>
    </comment>
    <comment ref="AV212" authorId="1" shapeId="0" xr:uid="{00000000-0006-0000-0400-000003010000}">
      <text>
        <r>
          <rPr>
            <b/>
            <sz val="9"/>
            <color indexed="81"/>
            <rFont val="Tahoma"/>
            <family val="2"/>
          </rPr>
          <t>MSMB:</t>
        </r>
        <r>
          <rPr>
            <sz val="9"/>
            <color indexed="81"/>
            <rFont val="Tahoma"/>
            <family val="2"/>
          </rPr>
          <t xml:space="preserve">
12129 GAAP</t>
        </r>
      </text>
    </comment>
    <comment ref="AW212" authorId="1" shapeId="0" xr:uid="{00000000-0006-0000-0400-000004010000}">
      <text>
        <r>
          <rPr>
            <b/>
            <sz val="9"/>
            <color indexed="81"/>
            <rFont val="Tahoma"/>
            <family val="2"/>
          </rPr>
          <t>MSMB:</t>
        </r>
        <r>
          <rPr>
            <sz val="9"/>
            <color indexed="81"/>
            <rFont val="Tahoma"/>
            <family val="2"/>
          </rPr>
          <t xml:space="preserve">
11973 GAAP</t>
        </r>
      </text>
    </comment>
    <comment ref="AX212" authorId="1" shapeId="0" xr:uid="{00000000-0006-0000-0400-000005010000}">
      <text>
        <r>
          <rPr>
            <b/>
            <sz val="9"/>
            <color indexed="81"/>
            <rFont val="Tahoma"/>
            <family val="2"/>
          </rPr>
          <t>MSMB:</t>
        </r>
        <r>
          <rPr>
            <sz val="9"/>
            <color indexed="81"/>
            <rFont val="Tahoma"/>
            <family val="2"/>
          </rPr>
          <t xml:space="preserve">
12346 GAAP</t>
        </r>
      </text>
    </comment>
    <comment ref="AY212" authorId="1" shapeId="0" xr:uid="{00000000-0006-0000-0400-000006010000}">
      <text>
        <r>
          <rPr>
            <b/>
            <sz val="9"/>
            <color indexed="81"/>
            <rFont val="Tahoma"/>
            <family val="2"/>
          </rPr>
          <t>MSMB:</t>
        </r>
        <r>
          <rPr>
            <sz val="9"/>
            <color indexed="81"/>
            <rFont val="Tahoma"/>
            <family val="2"/>
          </rPr>
          <t xml:space="preserve">
10867 GAAP</t>
        </r>
      </text>
    </comment>
    <comment ref="AZ212" authorId="1" shapeId="0" xr:uid="{00000000-0006-0000-0400-000007010000}">
      <text>
        <r>
          <rPr>
            <b/>
            <sz val="9"/>
            <color indexed="81"/>
            <rFont val="Tahoma"/>
            <family val="2"/>
          </rPr>
          <t>MSMB:</t>
        </r>
        <r>
          <rPr>
            <sz val="9"/>
            <color indexed="81"/>
            <rFont val="Tahoma"/>
            <family val="2"/>
          </rPr>
          <t xml:space="preserve">
10984 GAAP</t>
        </r>
      </text>
    </comment>
    <comment ref="BA212" authorId="1" shapeId="0" xr:uid="{00000000-0006-0000-0400-000008010000}">
      <text>
        <r>
          <rPr>
            <b/>
            <sz val="9"/>
            <color indexed="81"/>
            <rFont val="Tahoma"/>
            <family val="2"/>
          </rPr>
          <t>MSMB:</t>
        </r>
        <r>
          <rPr>
            <sz val="9"/>
            <color indexed="81"/>
            <rFont val="Tahoma"/>
            <family val="2"/>
          </rPr>
          <t xml:space="preserve">
11621 GAAP</t>
        </r>
      </text>
    </comment>
    <comment ref="BB212" authorId="1" shapeId="0" xr:uid="{00000000-0006-0000-0400-000009010000}">
      <text>
        <r>
          <rPr>
            <b/>
            <sz val="9"/>
            <color indexed="81"/>
            <rFont val="Tahoma"/>
            <family val="2"/>
          </rPr>
          <t>MSMB:</t>
        </r>
        <r>
          <rPr>
            <sz val="9"/>
            <color indexed="81"/>
            <rFont val="Tahoma"/>
            <family val="2"/>
          </rPr>
          <t xml:space="preserve">
16537 GAAP</t>
        </r>
      </text>
    </comment>
    <comment ref="BF212" authorId="0" shapeId="0" xr:uid="{00000000-0006-0000-0400-00000A010000}">
      <text>
        <r>
          <rPr>
            <b/>
            <sz val="9"/>
            <color indexed="81"/>
            <rFont val="Tahoma"/>
            <family val="2"/>
          </rPr>
          <t>Martin:</t>
        </r>
        <r>
          <rPr>
            <sz val="9"/>
            <color indexed="81"/>
            <rFont val="Tahoma"/>
            <family val="2"/>
          </rPr>
          <t xml:space="preserve">
was 17083</t>
        </r>
      </text>
    </comment>
    <comment ref="EJ212" authorId="1" shapeId="0" xr:uid="{00000000-0006-0000-0400-00000B010000}">
      <text>
        <r>
          <rPr>
            <b/>
            <sz val="9"/>
            <color indexed="81"/>
            <rFont val="Tahoma"/>
            <family val="2"/>
          </rPr>
          <t>MSMB:</t>
        </r>
        <r>
          <rPr>
            <sz val="9"/>
            <color indexed="81"/>
            <rFont val="Tahoma"/>
            <family val="2"/>
          </rPr>
          <t xml:space="preserve">
was 47299</t>
        </r>
      </text>
    </comment>
    <comment ref="EK212" authorId="1" shapeId="0" xr:uid="{00000000-0006-0000-0400-00000C010000}">
      <text>
        <r>
          <rPr>
            <b/>
            <sz val="9"/>
            <color indexed="81"/>
            <rFont val="Tahoma"/>
            <family val="2"/>
          </rPr>
          <t>MSMB:</t>
        </r>
        <r>
          <rPr>
            <sz val="9"/>
            <color indexed="81"/>
            <rFont val="Tahoma"/>
            <family val="2"/>
          </rPr>
          <t xml:space="preserve">
50009 GAAP
was 48829</t>
        </r>
      </text>
    </comment>
    <comment ref="EL212" authorId="1" shapeId="0" xr:uid="{00000000-0006-0000-0400-00000D010000}">
      <text>
        <r>
          <rPr>
            <b/>
            <sz val="9"/>
            <color indexed="81"/>
            <rFont val="Tahoma"/>
            <family val="2"/>
          </rPr>
          <t>MSMB:</t>
        </r>
        <r>
          <rPr>
            <sz val="9"/>
            <color indexed="81"/>
            <rFont val="Tahoma"/>
            <family val="2"/>
          </rPr>
          <t xml:space="preserve">
was 67318
was 50109</t>
        </r>
      </text>
    </comment>
    <comment ref="EM212" authorId="1" shapeId="0" xr:uid="{00000000-0006-0000-0400-00000E010000}">
      <text>
        <r>
          <rPr>
            <b/>
            <sz val="9"/>
            <color indexed="81"/>
            <rFont val="Tahoma"/>
            <family val="2"/>
          </rPr>
          <t>MSMB:</t>
        </r>
        <r>
          <rPr>
            <sz val="9"/>
            <color indexed="81"/>
            <rFont val="Tahoma"/>
            <family val="2"/>
          </rPr>
          <t xml:space="preserve">
was 65859
was 47574</t>
        </r>
      </text>
    </comment>
    <comment ref="EN212" authorId="0" shapeId="0" xr:uid="{00000000-0006-0000-0400-00000F010000}">
      <text>
        <r>
          <rPr>
            <b/>
            <sz val="9"/>
            <color indexed="81"/>
            <rFont val="Tahoma"/>
            <family val="2"/>
          </rPr>
          <t>Martin:</t>
        </r>
        <r>
          <rPr>
            <sz val="9"/>
            <color indexed="81"/>
            <rFont val="Tahoma"/>
            <family val="2"/>
          </rPr>
          <t xml:space="preserve">
was 61460</t>
        </r>
      </text>
    </comment>
    <comment ref="EJ214" authorId="1" shapeId="0" xr:uid="{00000000-0006-0000-0400-000010010000}">
      <text>
        <r>
          <rPr>
            <b/>
            <sz val="9"/>
            <color indexed="81"/>
            <rFont val="Tahoma"/>
            <family val="2"/>
          </rPr>
          <t>MSMB:</t>
        </r>
        <r>
          <rPr>
            <sz val="9"/>
            <color indexed="81"/>
            <rFont val="Tahoma"/>
            <family val="2"/>
          </rPr>
          <t xml:space="preserve">
was 2.34</t>
        </r>
      </text>
    </comment>
    <comment ref="EK214"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<sst xmlns="http://schemas.openxmlformats.org/spreadsheetml/2006/main" count="3712" uniqueCount="1693">
  <si>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</si>
  <si>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</si>
  <si>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</si>
  <si>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</si>
  <si>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</si>
  <si>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</si>
  <si>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</si>
  <si>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</si>
  <si>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</si>
  <si>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</si>
  <si>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</si>
  <si>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</si>
  <si>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</si>
  <si>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</si>
  <si>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</si>
  <si>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</si>
  <si>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</si>
  <si>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</si>
  <si>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</si>
  <si>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</si>
  <si>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</si>
  <si>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</si>
  <si>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</si>
  <si>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</si>
  <si>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</si>
  <si>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</si>
  <si>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</si>
  <si>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</si>
  <si>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</si>
  <si>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</si>
  <si>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</si>
  <si>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</si>
  <si>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</si>
  <si>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</si>
  <si>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</si>
  <si>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</si>
  <si>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</si>
  <si>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</si>
  <si>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</si>
  <si>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</si>
  <si>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</si>
  <si>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</si>
  <si>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</si>
  <si>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</si>
  <si>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</si>
  <si>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</si>
  <si>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</si>
  <si>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</si>
  <si>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</si>
  <si>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</si>
  <si>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</si>
  <si>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</si>
  <si>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</si>
  <si>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</si>
  <si>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</si>
  <si>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</si>
  <si>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</si>
  <si>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</si>
  <si>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</si>
  <si>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</si>
  <si>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</si>
  <si>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</si>
  <si>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</si>
  <si>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</si>
  <si>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</si>
  <si>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</si>
  <si>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</si>
  <si>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</si>
  <si>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</si>
  <si>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</si>
  <si>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</si>
  <si>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</si>
  <si>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</si>
  <si>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</si>
  <si>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</si>
  <si>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</si>
  <si>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</si>
  <si>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</si>
  <si>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</si>
  <si>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</si>
  <si>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</si>
  <si>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</si>
  <si>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</si>
  <si>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</si>
  <si>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</si>
  <si>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</si>
  <si>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</si>
  <si>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</si>
  <si>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</si>
  <si>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</si>
  <si>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</si>
  <si>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</si>
  <si>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</si>
  <si>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</si>
  <si>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</si>
  <si>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</si>
  <si>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</si>
  <si>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</si>
  <si>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</si>
  <si>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</si>
  <si>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</si>
  <si>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</si>
  <si>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</si>
  <si>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</si>
  <si>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</si>
  <si>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</si>
  <si>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</si>
  <si>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</si>
  <si>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</si>
  <si>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</si>
  <si>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</si>
  <si>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</si>
  <si>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</si>
  <si>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</si>
  <si>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</si>
  <si>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</si>
  <si>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</si>
  <si>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</si>
  <si>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</si>
  <si>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</si>
  <si>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</si>
  <si>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</si>
  <si>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</si>
  <si>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</si>
  <si>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</si>
  <si>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</si>
  <si>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</si>
  <si>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</si>
  <si>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</si>
  <si>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</si>
  <si>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</si>
  <si>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</si>
  <si>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</si>
  <si>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</si>
  <si>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</si>
  <si>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</si>
  <si>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</si>
  <si>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</si>
  <si>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</si>
  <si>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</si>
  <si>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</si>
  <si>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</si>
  <si>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</si>
  <si>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</si>
  <si>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</si>
  <si>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</si>
  <si>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</si>
  <si>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</si>
  <si>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</si>
  <si>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</si>
  <si>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</si>
  <si>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</si>
  <si>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</si>
  <si>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</si>
  <si>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</si>
  <si>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</si>
  <si>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</si>
  <si>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</si>
  <si>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</si>
  <si>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</si>
  <si>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</si>
  <si>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</si>
  <si>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</si>
  <si>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</si>
  <si>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</si>
  <si>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</si>
  <si>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</si>
  <si>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</si>
  <si>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</si>
  <si>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</si>
  <si>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</si>
  <si>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</si>
  <si>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</si>
  <si>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</si>
  <si>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</si>
  <si>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</si>
  <si>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</si>
  <si>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</si>
  <si>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</si>
  <si>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</si>
  <si>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</si>
  <si>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</si>
  <si>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</si>
  <si>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</si>
  <si>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</si>
  <si>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</si>
  <si>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</si>
  <si>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</si>
  <si>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</si>
  <si>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</si>
  <si>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</si>
  <si>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</si>
  <si>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</si>
  <si>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</si>
  <si>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</si>
  <si>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</si>
  <si>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</si>
  <si>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</si>
  <si>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</si>
  <si>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</si>
  <si>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</si>
  <si>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</si>
  <si>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</si>
  <si>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</si>
  <si>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</si>
  <si>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</si>
  <si>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</si>
  <si>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</si>
  <si>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</si>
  <si>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</si>
  <si>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</si>
  <si>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</si>
  <si>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</si>
  <si>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</si>
  <si>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</si>
  <si>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</si>
  <si>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</si>
  <si>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</si>
  <si>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</si>
  <si>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</si>
  <si>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</si>
  <si>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</si>
  <si>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</si>
  <si>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</si>
  <si>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</si>
  <si>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</si>
  <si>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</si>
  <si>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</si>
  <si>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</si>
  <si>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</si>
  <si>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</si>
  <si>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</si>
  <si>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</si>
  <si>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</si>
  <si>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</si>
  <si>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</si>
  <si>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</si>
  <si>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</si>
  <si>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</si>
  <si>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</si>
  <si>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</si>
  <si>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</si>
  <si>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</si>
  <si>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</si>
  <si>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</si>
  <si>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</si>
  <si>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</si>
  <si>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</si>
  <si>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</si>
  <si>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</si>
  <si>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</si>
  <si>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</si>
  <si>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</si>
  <si>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</si>
  <si>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</si>
  <si>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</si>
  <si>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</si>
  <si>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</si>
  <si>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</si>
  <si>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</si>
  <si>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</si>
  <si>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</si>
  <si>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</si>
  <si>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</si>
  <si>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</si>
  <si>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</si>
  <si>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</si>
  <si>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</si>
  <si>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</si>
  <si>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</si>
  <si>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</si>
  <si>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</si>
  <si>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</si>
  <si>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</si>
  <si>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</si>
  <si>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</si>
  <si>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</si>
  <si>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</si>
  <si>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</si>
  <si>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</si>
  <si>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</si>
  <si>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</si>
  <si>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</si>
  <si>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</si>
  <si>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</si>
  <si>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</si>
  <si>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</si>
  <si>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</si>
  <si>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</si>
  <si>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</si>
  <si>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</si>
  <si>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</si>
  <si>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</si>
  <si>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</si>
  <si>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</si>
  <si>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</si>
  <si>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</si>
  <si>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</si>
  <si>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</si>
  <si>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</si>
  <si>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</si>
  <si>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</si>
  <si>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</si>
  <si>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</si>
  <si>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</si>
  <si>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</si>
  <si>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</si>
  <si>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</si>
  <si>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</si>
  <si>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</si>
  <si>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</si>
  <si>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</si>
  <si>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</si>
  <si>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</si>
  <si>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</si>
  <si>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</si>
  <si>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</si>
  <si>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</si>
  <si>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</si>
  <si>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</si>
  <si>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</si>
  <si>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</si>
  <si>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</si>
  <si>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</si>
  <si>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</si>
  <si>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</si>
  <si>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</si>
  <si>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</si>
  <si>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</si>
  <si>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</si>
  <si>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</si>
  <si>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</si>
  <si>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</si>
  <si>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</si>
  <si>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</si>
  <si>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</si>
  <si>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</si>
  <si>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</si>
  <si>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</si>
  <si>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</si>
  <si>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</si>
  <si>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</si>
  <si>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</si>
  <si>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</si>
  <si>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</si>
  <si>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</si>
  <si>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</si>
  <si>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</si>
  <si>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</si>
  <si>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</si>
  <si>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</si>
  <si>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</si>
  <si>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</si>
  <si>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</si>
  <si>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</si>
  <si>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</si>
  <si>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</si>
  <si>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</si>
  <si>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</si>
  <si>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</si>
  <si>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</si>
  <si>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</si>
  <si>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</si>
  <si>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</si>
  <si>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</si>
  <si>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</si>
  <si>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</si>
  <si>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</si>
  <si>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</si>
  <si>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</si>
  <si>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</si>
  <si>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</si>
  <si>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</si>
  <si>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</si>
  <si>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</si>
  <si>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</si>
  <si>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</si>
  <si>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</si>
  <si>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</si>
  <si>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</si>
  <si>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</si>
  <si>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</si>
  <si>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</si>
  <si>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</si>
  <si>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</si>
  <si>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</si>
  <si>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</si>
  <si>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</si>
  <si>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</si>
  <si>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</si>
  <si>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</si>
  <si>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</si>
  <si>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</si>
  <si>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</si>
  <si>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</si>
  <si>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</si>
  <si>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</si>
  <si>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</si>
  <si>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</si>
  <si>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</si>
  <si>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</si>
  <si>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</si>
  <si>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</si>
  <si>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</si>
  <si>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</si>
  <si>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</si>
  <si>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</si>
  <si>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</si>
  <si>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</si>
  <si>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</si>
  <si>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</si>
  <si>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</si>
  <si>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</si>
  <si>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</si>
  <si>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</si>
  <si>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</si>
  <si>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</si>
  <si>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</si>
  <si>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</si>
  <si>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</si>
  <si>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</si>
  <si>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</si>
  <si>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</si>
  <si>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</si>
  <si>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</si>
  <si>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</si>
  <si>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</si>
  <si>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</si>
  <si>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</si>
  <si>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</si>
  <si>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</si>
  <si>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</si>
  <si>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</si>
  <si>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</si>
  <si>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</si>
  <si>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</si>
  <si>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</si>
  <si>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</si>
  <si>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</si>
  <si>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</si>
  <si>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</si>
  <si>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</si>
  <si>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</si>
  <si>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</si>
  <si>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</si>
  <si>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</si>
  <si>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</si>
  <si>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</si>
  <si>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</si>
  <si>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</si>
  <si>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</si>
  <si>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</si>
  <si>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</si>
  <si>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</si>
  <si>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</si>
  <si>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</si>
  <si>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</si>
  <si>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</si>
  <si>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</si>
  <si>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</si>
  <si>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</si>
  <si>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</si>
  <si>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</si>
  <si>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</si>
  <si>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</si>
  <si>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</si>
  <si>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</si>
  <si>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</si>
  <si>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</si>
  <si>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</si>
  <si>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</si>
  <si>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</si>
  <si>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</si>
  <si>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</si>
  <si>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</si>
  <si>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</si>
  <si>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</si>
  <si>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</si>
  <si>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</si>
  <si>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</si>
  <si>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</si>
  <si>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</si>
  <si>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</si>
  <si>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</si>
  <si>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</si>
  <si>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</si>
  <si>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</si>
  <si>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</si>
  <si>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</si>
  <si>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</si>
  <si>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</si>
  <si>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</si>
  <si>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</si>
  <si>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</si>
  <si>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</si>
  <si>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</si>
  <si>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</si>
  <si>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</si>
  <si>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</si>
  <si>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</si>
  <si>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</si>
  <si>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</si>
  <si>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</si>
  <si>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</si>
  <si>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</si>
  <si>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</si>
  <si>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</si>
  <si>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</si>
  <si>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</si>
  <si>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</si>
  <si>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</si>
  <si>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</si>
  <si>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</si>
  <si>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</si>
  <si>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</si>
  <si>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</si>
  <si>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</si>
  <si>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</si>
  <si>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</si>
  <si>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</si>
  <si>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</si>
  <si>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</si>
  <si>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</si>
  <si>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</si>
  <si>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</si>
  <si>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</si>
  <si>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</si>
  <si>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</si>
  <si>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</si>
  <si>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</si>
  <si>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</si>
  <si>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</si>
  <si>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</si>
  <si>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</si>
  <si>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</si>
  <si>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</si>
  <si>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</si>
  <si>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</si>
  <si>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</si>
  <si>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</si>
  <si>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</si>
  <si>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</si>
  <si>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</si>
  <si>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</si>
  <si>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</si>
  <si>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</si>
  <si>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</si>
  <si>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</si>
  <si>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</si>
  <si>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</si>
  <si>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</si>
  <si>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</si>
  <si>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</si>
  <si>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</si>
  <si>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</si>
  <si>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</si>
  <si>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</si>
  <si>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</si>
  <si>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</si>
  <si>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</si>
  <si>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</si>
  <si>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</si>
  <si>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</si>
  <si>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</si>
  <si>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</si>
  <si>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</si>
  <si>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</si>
  <si>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</si>
  <si>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</si>
  <si>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</si>
  <si>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</si>
  <si>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</si>
  <si>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</si>
  <si>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</si>
  <si>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</si>
  <si>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</si>
  <si>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</si>
  <si>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</si>
  <si>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</si>
  <si>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</si>
  <si>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</si>
  <si>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</si>
  <si>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</si>
  <si>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</si>
  <si>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</si>
  <si>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</si>
  <si>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</si>
  <si>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</si>
  <si>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</si>
  <si>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</si>
  <si>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</si>
  <si>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</si>
  <si>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</si>
  <si>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</si>
  <si>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</si>
  <si>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</si>
  <si>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</si>
  <si>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</si>
  <si>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</si>
  <si>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</si>
  <si>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</si>
  <si>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</si>
  <si>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</si>
  <si>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</si>
  <si>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</si>
  <si>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</si>
  <si>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</si>
  <si>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</si>
  <si>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</si>
  <si>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</si>
  <si>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</si>
  <si>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</si>
  <si>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</si>
  <si>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</si>
  <si>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</si>
  <si>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</si>
  <si>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</si>
  <si>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</si>
  <si>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</si>
  <si>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</si>
  <si>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</si>
  <si>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</si>
  <si>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</si>
  <si>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</si>
  <si>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</si>
  <si>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</si>
  <si>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</si>
  <si>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</si>
  <si>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</si>
  <si>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</si>
  <si>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</si>
  <si>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</si>
  <si>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</si>
  <si>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</si>
  <si>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</si>
  <si>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</si>
  <si>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</si>
  <si>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</si>
  <si>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</si>
  <si>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</si>
  <si>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</si>
  <si>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</si>
  <si>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</si>
  <si>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</si>
  <si>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</si>
  <si>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</si>
  <si>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</si>
  <si>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</si>
  <si>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</si>
  <si>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</si>
  <si>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</si>
  <si>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</si>
  <si>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</si>
  <si>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</si>
  <si>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</si>
  <si>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</si>
  <si>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</si>
  <si>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</si>
  <si>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</si>
  <si>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</si>
  <si>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</si>
  <si>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</si>
  <si>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</si>
  <si>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</si>
  <si>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</si>
  <si>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</si>
  <si>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</si>
  <si>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</si>
  <si>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</si>
  <si>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</si>
  <si>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</si>
  <si>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</si>
  <si>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</si>
  <si>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</si>
  <si>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</si>
  <si>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</si>
  <si>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</si>
  <si>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</si>
  <si>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</si>
  <si>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</si>
  <si>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</si>
  <si>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</si>
  <si>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</si>
  <si>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</si>
  <si>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</si>
  <si>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</si>
  <si>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</si>
  <si>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</si>
  <si>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</si>
  <si>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</si>
  <si>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</si>
  <si>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</si>
  <si>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</si>
  <si>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</si>
  <si>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</si>
  <si>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</si>
  <si>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</si>
  <si>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</si>
  <si>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</si>
  <si>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</si>
  <si>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</si>
  <si>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</si>
  <si>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</si>
  <si>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</si>
  <si>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</si>
  <si>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</si>
  <si>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</si>
  <si>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</si>
  <si>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</si>
  <si>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</si>
  <si>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</si>
  <si>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</si>
  <si>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</si>
  <si>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</si>
  <si>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</si>
  <si>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</si>
  <si>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</si>
  <si>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</si>
  <si>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</si>
  <si>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</si>
  <si>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</si>
  <si>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</si>
  <si>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</si>
  <si>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</si>
  <si>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</si>
  <si>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</si>
  <si>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</si>
  <si>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</si>
  <si>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</si>
  <si>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</si>
  <si>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</si>
  <si>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</si>
  <si>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</si>
  <si>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</si>
  <si>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</si>
  <si>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</si>
  <si>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</si>
  <si>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</si>
  <si>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</si>
  <si>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</si>
  <si>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</si>
  <si>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</si>
  <si>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</si>
  <si>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</si>
  <si>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</si>
  <si>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</si>
  <si>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</si>
  <si>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</si>
  <si>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</si>
  <si>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</si>
  <si>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</si>
  <si>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</si>
  <si>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</si>
  <si>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</si>
  <si>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</si>
  <si>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</si>
  <si>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</si>
  <si>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</si>
  <si>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</si>
  <si>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</si>
  <si>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</si>
  <si>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</si>
  <si>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</si>
  <si>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</si>
  <si>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</si>
  <si>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</si>
  <si>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</si>
  <si>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</si>
  <si>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</si>
  <si>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</si>
  <si>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</si>
  <si>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</si>
  <si>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</si>
  <si>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</si>
  <si>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</si>
  <si>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</si>
  <si>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</si>
  <si>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</si>
  <si>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</si>
  <si>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</si>
  <si>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</si>
  <si>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</si>
  <si>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</si>
  <si>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</si>
  <si>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</si>
  <si>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</si>
  <si>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</si>
  <si>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</si>
  <si>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</si>
  <si>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</si>
  <si>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</si>
  <si>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</si>
  <si>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</si>
  <si>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</si>
  <si>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</si>
  <si>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</si>
  <si>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</si>
  <si>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</si>
  <si>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</si>
  <si>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</si>
  <si>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</si>
  <si>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</si>
  <si>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</si>
  <si>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</si>
  <si>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</si>
  <si>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</si>
  <si>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</si>
  <si>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</si>
  <si>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</si>
  <si>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</si>
  <si>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</si>
  <si>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</si>
  <si>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</si>
  <si>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</si>
  <si>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</si>
  <si>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</si>
  <si>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</si>
  <si>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</si>
  <si>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</si>
  <si>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</si>
  <si>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</si>
  <si>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</si>
  <si>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</si>
  <si>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</si>
  <si>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</si>
  <si>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</si>
  <si>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</si>
  <si>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</si>
  <si>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</si>
  <si>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</si>
  <si>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</si>
  <si>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</si>
  <si>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</si>
  <si>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</si>
  <si>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</si>
  <si>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</si>
  <si>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</si>
  <si>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</si>
  <si>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</si>
  <si>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</si>
  <si>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</si>
  <si>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</si>
  <si>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</si>
  <si>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</si>
  <si>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</si>
  <si>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</si>
  <si>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</si>
  <si>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</si>
  <si>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</si>
  <si>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</si>
  <si>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</si>
  <si>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</si>
  <si>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</si>
  <si>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</si>
  <si>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</si>
  <si>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</si>
  <si>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</si>
  <si>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</si>
  <si>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</si>
  <si>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</si>
  <si>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</si>
  <si>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</si>
  <si>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</si>
  <si>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</si>
  <si>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</si>
  <si>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</si>
  <si>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</si>
  <si>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</si>
  <si>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</si>
  <si>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</si>
  <si>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</si>
  <si>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</si>
  <si>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</si>
  <si>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</si>
  <si>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</si>
  <si>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</si>
  <si>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</si>
  <si>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</si>
  <si>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</si>
  <si>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</si>
  <si>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</si>
  <si>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</si>
  <si>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</si>
  <si>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</si>
  <si>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</si>
  <si>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</si>
  <si>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</si>
  <si>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</si>
  <si>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</si>
  <si>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</si>
  <si>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</si>
  <si>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</si>
  <si>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</si>
  <si>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</si>
  <si>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</si>
  <si>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</si>
  <si>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</si>
  <si>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</si>
  <si>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</si>
  <si>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</si>
  <si>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</si>
  <si>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</si>
  <si>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</si>
  <si>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</si>
  <si>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</si>
  <si>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</si>
  <si>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</si>
  <si>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</si>
  <si>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</si>
  <si>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</si>
  <si>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</si>
  <si>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</si>
  <si>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</si>
  <si>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</si>
  <si>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</si>
  <si>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</si>
  <si>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</si>
  <si>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</si>
  <si>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</si>
  <si>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</si>
  <si>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</si>
  <si>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</si>
  <si>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</si>
  <si>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</si>
  <si>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</si>
  <si>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</si>
  <si>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</si>
  <si>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</si>
  <si>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</si>
  <si>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</si>
  <si>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</si>
  <si>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</si>
  <si>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</si>
  <si>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</si>
  <si>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</si>
  <si>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</si>
  <si>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</si>
  <si>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</si>
  <si>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</si>
  <si>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</si>
  <si>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</si>
  <si>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</si>
  <si>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</si>
  <si>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</si>
  <si>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</si>
  <si>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</si>
  <si>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</si>
  <si>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</si>
  <si>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</si>
  <si>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</si>
  <si>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</si>
  <si>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</si>
  <si>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</si>
  <si>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</si>
  <si>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</si>
  <si>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</si>
  <si>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</si>
  <si>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</si>
  <si>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</si>
  <si>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</si>
  <si>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</si>
  <si>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</si>
  <si>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</si>
  <si>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</si>
  <si>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</si>
  <si>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</si>
  <si>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</si>
  <si>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</si>
  <si>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</si>
  <si>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</si>
  <si>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</si>
  <si>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</si>
  <si>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</si>
  <si>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</si>
  <si>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</si>
  <si>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</si>
  <si>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</si>
  <si>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</si>
  <si>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</si>
  <si>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</si>
  <si>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</si>
  <si>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</si>
  <si>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</si>
  <si>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</si>
  <si>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</si>
  <si>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</si>
  <si>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</si>
  <si>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</si>
  <si>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</si>
  <si>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</si>
  <si>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</si>
  <si>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</si>
  <si>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</si>
  <si>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</si>
  <si>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</si>
  <si>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</si>
  <si>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</si>
  <si>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</si>
  <si>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</si>
  <si>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</si>
  <si>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</si>
  <si>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</si>
  <si>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</si>
  <si>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</si>
  <si>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</si>
  <si>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</si>
  <si>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</si>
  <si>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</si>
  <si>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</si>
  <si>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</si>
  <si>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</si>
  <si>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</si>
  <si>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</si>
  <si>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</si>
  <si>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</si>
  <si>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</si>
  <si>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</si>
  <si>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</si>
  <si>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</si>
  <si>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</si>
  <si>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</si>
  <si>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</si>
  <si>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</si>
  <si>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</si>
  <si>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</si>
  <si>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</si>
  <si>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</si>
  <si>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</si>
  <si>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</si>
  <si>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</si>
  <si>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</si>
  <si>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</si>
  <si>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</si>
  <si>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</si>
  <si>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</si>
  <si>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</si>
  <si>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</si>
  <si>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</si>
  <si>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</si>
  <si>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</si>
  <si>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</si>
  <si>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</si>
  <si>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</si>
  <si>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</si>
  <si>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</si>
  <si>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</si>
  <si>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</si>
  <si>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</si>
  <si>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</si>
  <si>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</si>
  <si>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</si>
  <si>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</si>
  <si>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</si>
  <si>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</si>
  <si>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</si>
  <si>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</si>
  <si>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</si>
  <si>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</si>
  <si>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</si>
  <si>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</si>
  <si>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</si>
  <si>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</si>
  <si>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</si>
  <si>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</si>
  <si>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</si>
  <si>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</si>
  <si>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</si>
  <si>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</si>
  <si>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</si>
  <si>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</si>
  <si>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</si>
  <si>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</si>
  <si>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</si>
  <si>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</si>
  <si>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</si>
  <si>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</si>
  <si>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</si>
  <si>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</si>
  <si>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</si>
  <si>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</si>
  <si>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</si>
  <si>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</si>
  <si>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</si>
  <si>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</si>
  <si>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</si>
  <si>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</si>
  <si>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</si>
  <si>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</si>
  <si>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</si>
  <si>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</si>
  <si>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</si>
  <si>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</si>
  <si>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</si>
  <si>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</si>
  <si>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</si>
  <si>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</si>
  <si>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</si>
  <si>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</si>
  <si>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</si>
  <si>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</si>
  <si>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</si>
  <si>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</si>
  <si>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</si>
  <si>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</si>
  <si>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</si>
  <si>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</si>
  <si>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</si>
  <si>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</si>
  <si>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</si>
  <si>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</si>
  <si>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</si>
  <si>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</si>
  <si>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</si>
  <si>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</si>
  <si>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</si>
  <si>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</si>
  <si>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</si>
  <si>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</si>
  <si>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</si>
  <si>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</si>
  <si>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</si>
  <si>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</si>
  <si>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</si>
  <si>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</si>
  <si>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</si>
  <si>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</si>
  <si>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</si>
  <si>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</si>
  <si>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</si>
  <si>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</si>
  <si>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</si>
  <si>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</si>
  <si>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</si>
  <si>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</si>
  <si>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</si>
  <si>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</si>
  <si>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</si>
  <si>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</si>
  <si>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</si>
  <si>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</si>
  <si>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</si>
  <si>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</si>
  <si>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</si>
  <si>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</si>
  <si>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</si>
  <si>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</si>
  <si>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</si>
  <si>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</si>
  <si>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</si>
  <si>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</si>
  <si>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</si>
  <si>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</si>
  <si>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</si>
  <si>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</si>
  <si>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</si>
  <si>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</si>
  <si>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</si>
  <si>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</si>
  <si>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</si>
  <si>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</si>
  <si>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</si>
  <si>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</si>
  <si>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</si>
  <si>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</si>
  <si>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</si>
  <si>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</si>
  <si>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</si>
  <si>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</si>
  <si>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</si>
  <si>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</si>
  <si>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</si>
  <si>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</si>
  <si>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</si>
  <si>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</si>
  <si>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</si>
  <si>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</si>
  <si>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</si>
  <si>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</si>
  <si>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</si>
  <si>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</si>
  <si>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</si>
  <si>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</si>
  <si>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</si>
  <si>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</si>
  <si>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</si>
  <si>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</si>
  <si>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</si>
  <si>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</si>
  <si>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</si>
  <si>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</si>
  <si>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</si>
  <si>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</si>
  <si>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</si>
  <si>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</si>
  <si>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</si>
  <si>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</si>
  <si>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</si>
  <si>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</si>
  <si>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</si>
  <si>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</si>
  <si>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</si>
  <si>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</si>
  <si>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</si>
  <si>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</si>
  <si>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</si>
  <si>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</si>
  <si>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</si>
  <si>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</si>
  <si>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</si>
  <si>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</si>
  <si>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</si>
  <si>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</si>
  <si>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</si>
  <si>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</si>
  <si>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</si>
  <si>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</si>
  <si>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</si>
  <si>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</si>
  <si>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</si>
  <si>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</si>
  <si>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</si>
  <si>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</si>
  <si>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</si>
  <si>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</si>
  <si>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</si>
  <si>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</si>
  <si>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</si>
  <si>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</si>
  <si>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</si>
  <si>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</si>
  <si>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</si>
  <si>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</si>
  <si>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</si>
  <si>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</si>
  <si>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</si>
  <si>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</si>
  <si>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</si>
  <si>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</si>
  <si>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</si>
  <si>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</si>
  <si>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</si>
  <si>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</si>
  <si>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</si>
  <si>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</si>
  <si>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</si>
  <si>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</si>
  <si>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</si>
  <si>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</si>
  <si>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</si>
  <si>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</si>
  <si>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</si>
  <si>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</si>
  <si>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</si>
  <si>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</si>
  <si>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</si>
  <si>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</si>
  <si>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</si>
  <si>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</si>
  <si>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</si>
  <si>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</si>
  <si>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</si>
  <si>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</si>
  <si>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</si>
  <si>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</si>
  <si>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</si>
  <si>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</si>
  <si>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</si>
  <si>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</si>
  <si>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</si>
  <si>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</si>
  <si>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</si>
  <si>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</si>
  <si>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</si>
  <si>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</si>
  <si>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</si>
  <si>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</si>
  <si>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</si>
  <si>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</si>
  <si>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</si>
  <si>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</si>
  <si>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</si>
  <si>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</si>
  <si>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</si>
  <si>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</si>
  <si>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</si>
  <si>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</si>
  <si>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</si>
  <si>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</si>
  <si>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</si>
  <si>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</si>
  <si>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</si>
  <si>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</si>
  <si>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</si>
  <si>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</si>
  <si>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</si>
  <si>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</si>
  <si>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</si>
  <si>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</si>
  <si>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</si>
  <si>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</si>
  <si>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</si>
  <si>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</si>
  <si>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</si>
  <si>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</si>
  <si>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</si>
  <si>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</si>
  <si>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</si>
  <si>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</si>
  <si>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</si>
  <si>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</si>
  <si>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</si>
  <si>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</si>
  <si>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</si>
  <si>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</si>
  <si>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</si>
  <si>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</si>
  <si>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</si>
  <si>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</si>
  <si>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</si>
  <si>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</si>
  <si>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</si>
  <si>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</si>
  <si>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</si>
  <si>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</si>
  <si>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</si>
  <si>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</si>
  <si>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</si>
  <si>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</si>
  <si>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</si>
  <si>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</si>
  <si>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</si>
  <si>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</si>
  <si>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</si>
  <si>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</si>
  <si>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</si>
  <si>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</si>
  <si>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</si>
  <si>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</si>
  <si>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</si>
  <si>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</si>
  <si>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</si>
  <si>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</si>
  <si>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</si>
  <si>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</si>
  <si>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</si>
  <si>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</si>
  <si>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</si>
  <si>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</si>
  <si>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</si>
  <si>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</si>
  <si>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</si>
  <si>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</si>
  <si>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</si>
  <si>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</si>
  <si>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</si>
  <si>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</si>
  <si>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</si>
  <si>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</si>
  <si>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</si>
  <si>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</si>
  <si>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</si>
  <si>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</si>
  <si>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</si>
  <si>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</si>
  <si>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</si>
  <si>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</si>
  <si>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</si>
  <si>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</si>
  <si>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</si>
  <si>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</si>
  <si>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</si>
  <si>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</si>
  <si>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</si>
  <si>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</si>
  <si>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</si>
  <si>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</si>
  <si>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</si>
  <si>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</si>
  <si>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</si>
  <si>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</si>
  <si>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</si>
  <si>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</si>
  <si>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</si>
  <si>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</si>
  <si>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</si>
  <si>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</si>
  <si>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</si>
  <si>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</si>
  <si>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</si>
  <si>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</si>
  <si>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</si>
  <si>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</si>
  <si>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</si>
  <si>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</si>
  <si>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</si>
  <si>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</si>
  <si>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</si>
  <si>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</si>
  <si>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</si>
  <si>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</si>
  <si>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</si>
  <si>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</si>
  <si>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</si>
  <si>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</si>
  <si>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</si>
  <si>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</si>
  <si>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</si>
  <si>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</si>
  <si>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</si>
  <si>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</si>
  <si>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</si>
  <si>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</si>
  <si>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</si>
  <si>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</si>
  <si>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</si>
  <si>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</si>
  <si>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</si>
  <si>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</si>
  <si>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</si>
  <si>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</si>
  <si>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</si>
  <si>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</si>
  <si>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</si>
  <si>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</si>
  <si>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</si>
  <si>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</si>
  <si>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</si>
  <si>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</si>
  <si>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</si>
  <si>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</si>
  <si>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</si>
  <si>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</si>
  <si>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</si>
  <si>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</si>
  <si>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</si>
  <si>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</si>
  <si>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</si>
  <si>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</si>
  <si>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</si>
  <si>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</si>
  <si>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</si>
  <si>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</si>
  <si>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</si>
  <si>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</si>
  <si>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</si>
  <si>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</si>
  <si>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</si>
  <si>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</si>
  <si>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</si>
  <si>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</si>
  <si>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</si>
  <si>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</si>
  <si>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</si>
  <si>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</si>
  <si>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</si>
  <si>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</si>
  <si>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</si>
  <si>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</si>
  <si>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</si>
  <si>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</si>
  <si>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</si>
  <si>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</si>
  <si>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</si>
  <si>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</si>
  <si>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</si>
  <si>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</si>
  <si>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</si>
  <si>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</si>
  <si>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</si>
  <si>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</si>
  <si>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</si>
  <si>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</si>
  <si>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</si>
  <si>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</si>
  <si>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</si>
  <si>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</si>
  <si>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</si>
  <si>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</si>
  <si>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</si>
  <si>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</si>
  <si>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</si>
  <si>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</si>
  <si>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</si>
  <si>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</si>
  <si>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</si>
  <si>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</si>
  <si>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</si>
  <si>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</si>
  <si>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</si>
  <si>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</si>
  <si>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</si>
  <si>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</si>
  <si>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</si>
  <si>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</si>
  <si>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</si>
  <si>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</si>
  <si>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</si>
  <si>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</si>
  <si>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</si>
  <si>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</si>
  <si>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</si>
  <si>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</si>
  <si>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</si>
  <si>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</si>
  <si>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</si>
  <si>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</si>
  <si>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</si>
  <si>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</si>
  <si>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</si>
  <si>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</si>
  <si>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</si>
  <si>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</si>
  <si>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</si>
  <si>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</si>
  <si>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</si>
  <si>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</si>
  <si>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</si>
  <si>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</si>
  <si>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</si>
  <si>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</si>
  <si>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</si>
  <si>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</si>
  <si>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</si>
  <si>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</si>
  <si>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</si>
  <si>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</si>
  <si>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</si>
  <si>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</si>
  <si>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</si>
  <si>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</si>
  <si>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</si>
  <si>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</si>
  <si>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</si>
  <si>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</si>
  <si>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</si>
  <si>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</si>
  <si>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</si>
  <si>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</si>
  <si>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</si>
  <si>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</si>
  <si>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</si>
  <si>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</si>
  <si>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</si>
  <si>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</si>
  <si>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</si>
  <si>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</si>
  <si>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</si>
  <si>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</si>
  <si>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</si>
  <si>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</si>
  <si>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</si>
  <si>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</si>
  <si>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</si>
  <si>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</si>
  <si>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</si>
  <si>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</si>
  <si>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</si>
  <si>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</si>
  <si>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</si>
  <si>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</si>
  <si>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</si>
  <si>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</si>
  <si>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</si>
  <si>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</si>
  <si>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</si>
  <si>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</si>
  <si>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</si>
  <si>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</si>
  <si>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</si>
  <si>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</si>
  <si>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</si>
  <si>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</si>
  <si>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</si>
  <si>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</si>
  <si>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</si>
  <si>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</si>
  <si>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</si>
  <si>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</si>
  <si>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</si>
  <si>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</si>
  <si>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</si>
  <si>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</si>
  <si>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</si>
  <si>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</si>
  <si>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</si>
  <si>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</si>
  <si>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</si>
  <si>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</si>
  <si>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</si>
  <si>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</si>
  <si>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</si>
  <si>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</si>
  <si>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</si>
  <si>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</si>
  <si>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</si>
  <si>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</si>
  <si>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</si>
  <si>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</si>
  <si>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</si>
  <si>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</si>
  <si>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</si>
  <si>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</si>
  <si>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</si>
  <si>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</si>
  <si>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</si>
  <si>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</si>
  <si>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</si>
  <si>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</si>
  <si>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</si>
  <si>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</si>
  <si>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</si>
  <si>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</si>
  <si>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</si>
  <si>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</si>
  <si>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</si>
  <si>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</si>
  <si>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</si>
  <si>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</si>
  <si>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</si>
  <si>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</si>
  <si>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</si>
  <si>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</si>
  <si>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</si>
  <si>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</si>
  <si>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</si>
  <si>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</si>
  <si>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</si>
  <si>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</si>
  <si>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</si>
  <si>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</si>
  <si>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</si>
  <si>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</si>
  <si>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</si>
  <si>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</si>
  <si>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</si>
  <si>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</si>
  <si>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</si>
  <si>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</si>
  <si>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</si>
  <si>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</si>
  <si>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</si>
  <si>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</si>
  <si>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</si>
  <si>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</si>
  <si>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</si>
  <si>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</si>
  <si>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</si>
  <si>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</si>
  <si>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</si>
  <si>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</si>
  <si>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</si>
  <si>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</si>
  <si>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</si>
  <si>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</si>
  <si>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</si>
  <si>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</si>
  <si>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</si>
  <si>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</si>
  <si>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</si>
  <si>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</si>
  <si>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</si>
  <si>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</si>
  <si>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</si>
  <si>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</si>
  <si>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</si>
  <si>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</si>
  <si>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</si>
  <si>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</si>
  <si>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</si>
  <si>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</si>
  <si>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</si>
  <si>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</si>
  <si>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</si>
  <si>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</si>
  <si>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</si>
  <si>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</si>
  <si>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</si>
  <si>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</si>
  <si>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</si>
  <si>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</si>
  <si>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</si>
  <si>
    <t>atirmociclib</t>
  </si>
  <si>
    <t>322</t>
  </si>
  <si>
    <t>6</t>
  </si>
  <si>
    <t>Elrexfio</t>
  </si>
  <si>
    <t>Elrexfio (elranatamab)</t>
  </si>
  <si>
    <t>CSO, President R&amp;D: Chris Boshoff</t>
  </si>
  <si>
    <t>CDO, Oncology: Johanna Bendell replacing Roger Dansey</t>
  </si>
  <si>
    <t>vepdegestrant (ARV-471)</t>
  </si>
  <si>
    <t>III failed</t>
  </si>
  <si>
    <t>III "CREST" met PE for hrnmiBC</t>
  </si>
  <si>
    <t>RETURNED TO SGMO</t>
  </si>
  <si>
    <t>CCO: Aamir Malik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</si>
</sst>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4">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
      <sz val="9"/>
      <color indexed="81"/>
      <name val="Tahoma"/>
      <charset val="1"/>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9">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xf numFmtId="0" fontId="0" fillId="0" borderId="0" xfId="0" applyFont="1" applyFill="1" applyBorder="1" applyAlignment="1">
      <alignment horizontal="center"/>
    </xf>
    <xf numFmtId="4" fontId="0" fillId="8" borderId="0" xfId="0" applyNumberFormat="1" applyFill="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114</xdr:col>
      <xdr:colOff>41713</xdr:colOff>
      <xdr:row>0</xdr:row>
      <xdr:rowOff>0</xdr:rowOff>
    </xdr:from>
    <xdr:to>
      <xdr:col>114</xdr:col>
      <xdr:colOff>41713</xdr:colOff>
      <xdr:row>208</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4137144" y="0"/>
          <a:ext cx="0" cy="34206246"/>
        </a:xfrm>
        <a:prstGeom prst="line">
          <a:avLst/>
        </a:prstGeom>
        <a:noFill/>
        <a:ln w="9525">
          <a:solidFill>
            <a:srgbClr val="000000"/>
          </a:solidFill>
          <a:round/>
          <a:headEnd/>
          <a:tailEnd/>
        </a:ln>
      </xdr:spPr>
      <xdr:txBody>
        <a:bodyPr/>
        <a:lstStyle/>
        <a:p>
          <a:r>
            <a:rPr lang="en-US"/>
            <a:t>O</a:t>
          </a:r>
        </a:p>
      </xdr:txBody>
    </xdr:sp>
    <xdr:clientData/>
  </xdr:twoCellAnchor>
  <xdr:twoCellAnchor>
    <xdr:from>
      <xdr:col>156</xdr:col>
      <xdr:colOff>28575</xdr:colOff>
      <xdr:row>0</xdr:row>
      <xdr:rowOff>0</xdr:rowOff>
    </xdr:from>
    <xdr:to>
      <xdr:col>156</xdr:col>
      <xdr:colOff>28575</xdr:colOff>
      <xdr:row>208</xdr:row>
      <xdr:rowOff>47625</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6149747" y="0"/>
          <a:ext cx="0" cy="34206246"/>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6"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70" dT="2024-10-19T16:24:18.68" personId="{8BD8153B-0117-43D0-8A87-E841916A0FE6}" id="{E5684629-465B-4042-B21D-65963CB8EDE8}">
    <text>288 GIP</text>
  </threadedComment>
  <threadedComment ref="BW106" dT="2024-10-04T19:40:12.71" personId="{8BD8153B-0117-43D0-8A87-E841916A0FE6}" id="{1B1414AE-9389-4723-B14A-9D46FB391728}">
    <text>2m to fix rounding</text>
  </threadedComment>
  <threadedComment ref="BX106" dT="2024-10-05T01:04:47.13" personId="{8BD8153B-0117-43D0-8A87-E841916A0FE6}" id="{DECAB5AF-724C-43E5-BAF8-51C0AC32137D}">
    <text>-3 to balance rounding</text>
  </threadedComment>
  <threadedComment ref="BY106" dT="2024-10-05T01:45:43.81" personId="{8BD8153B-0117-43D0-8A87-E841916A0FE6}" id="{68F45B72-2BAC-4FA7-8A5A-70DFB7510326}">
    <text>+4 to round</text>
  </threadedComment>
  <threadedComment ref="CN106" dT="2022-10-31T06:57:39.90" personId="{8BD8153B-0117-43D0-8A87-E841916A0FE6}" id="{8C26E110-6481-4D73-BF8E-53E4485CB950}">
    <text>587m Upjohn, 544m IM</text>
  </threadedComment>
  <threadedComment ref="CR106" dT="2022-10-31T06:57:19.62" personId="{8BD8153B-0117-43D0-8A87-E841916A0FE6}" id="{F114C7E8-BDF8-4C17-9587-85359FA5F189}">
    <text>476 Upjohn, 498 IM</text>
  </threadedComment>
  <threadedComment ref="BS115" dT="2024-10-04T19:40:32.24" personId="{8BD8153B-0117-43D0-8A87-E841916A0FE6}" id="{13CCAA2C-9F48-4C64-BB13-26F5FABAFC89}">
    <text>11353 official reported Q115</text>
  </threadedComment>
  <threadedComment ref="BT115" dT="2024-10-05T01:05:08.31" personId="{8BD8153B-0117-43D0-8A87-E841916A0FE6}" id="{C1F086EF-1D8C-45F8-B5A3-C2C0FE0C1ED5}">
    <text>12773 official from Q214</text>
  </threadedComment>
  <threadedComment ref="BU115" dT="2024-10-05T01:46:04.06" personId="{8BD8153B-0117-43D0-8A87-E841916A0FE6}" id="{8E202EA8-AC66-46B5-B63E-6D2EC39C2159}">
    <text>12361 official from Q315</text>
  </threadedComment>
  <threadedComment ref="CL115" dT="2023-01-31T06:01:10.03" personId="{8BD8153B-0117-43D0-8A87-E841916A0FE6}" id="{625364AC-DBD4-4C9B-A808-FD7855062013}">
    <text>13976m reported in Q419</text>
  </threadedComment>
  <threadedComment ref="CM115" dT="2023-01-31T05:48:23.25" personId="{8BD8153B-0117-43D0-8A87-E841916A0FE6}" id="{381C40E4-2BA2-4890-8F4C-5FB1390BA157}">
    <text>13118 reported in Q120</text>
  </threadedComment>
  <threadedComment ref="CN115" dT="2023-01-31T05:29:33.52" personId="{8BD8153B-0117-43D0-8A87-E841916A0FE6}" id="{D95F06EC-887E-48F9-A281-9FF35471D707}">
    <text>13624m reported in Q220</text>
  </threadedComment>
  <threadedComment ref="CP115" dT="2023-01-31T06:00:55.43" personId="{8BD8153B-0117-43D0-8A87-E841916A0FE6}" id="{3B9681AC-1CA5-48AA-AE92-0C898D9A6BBD}">
    <text>12688 reported Q419</text>
  </threadedComment>
  <threadedComment ref="CQ115" dT="2023-01-31T05:48:31.34" personId="{8BD8153B-0117-43D0-8A87-E841916A0FE6}" id="{0A40F869-B59E-4E7D-9978-4ACEFA94CC99}">
    <text>12028 reported in Q120</text>
  </threadedComment>
  <threadedComment ref="CT115" dT="2022-11-01T06:38:38.96" personId="{8BD8153B-0117-43D0-8A87-E841916A0FE6}" id="{2E73EF3E-B155-4CB0-B1B8-64827B17AE45}">
    <text>11634 actual</text>
  </threadedComment>
  <threadedComment ref="CU115" dT="2022-10-31T16:50:55.91" personId="{8BD8153B-0117-43D0-8A87-E841916A0FE6}" id="{5B977ABB-05DC-46E5-A0DD-1422ADEB185D}">
    <text>14,516m actual</text>
  </threadedComment>
  <threadedComment ref="CV115" dT="2022-10-31T16:18:04.19" personId="{8BD8153B-0117-43D0-8A87-E841916A0FE6}" id="{04F6E407-DF3F-4005-BE84-D6EDBFAFD027}">
    <text>18,899 actual</text>
  </threadedComment>
  <threadedComment ref="CW115" dT="2023-01-31T03:38:14.59" personId="{8BD8153B-0117-43D0-8A87-E841916A0FE6}" id="{5FB45385-89C7-4BE5-ADD1-E22B80F29A50}">
    <text>24035 reported</text>
  </threadedComment>
  <threadedComment ref="CX115" dT="2022-11-01T06:38:28.36" personId="{8BD8153B-0117-43D0-8A87-E841916A0FE6}" id="{9EF3741A-AD26-4402-9213-20DBFB37A1FD}">
    <text>23838 actual</text>
  </threadedComment>
  <threadedComment ref="CZ115" dT="2022-09-10T08:32:54.04" personId="{8BD8153B-0117-43D0-8A87-E841916A0FE6}" id="{ADD4F94A-0E76-4AB0-909B-364AC463E9C6}">
    <text>27742 actual</text>
  </threadedComment>
  <threadedComment ref="DE115" dT="2024-11-18T13:57:28.97" personId="{8BD8153B-0117-43D0-8A87-E841916A0FE6}" id="{777C775E-EED9-4803-BF32-EBE165FF3CE7}">
    <text>13491 - Q324 results</text>
  </threadedComment>
  <threadedComment ref="DF115" dT="2025-04-04T01:59:54.35" personId="{8BD8153B-0117-43D0-8A87-E841916A0FE6}" id="{B52E5836-4F8C-4866-9C6F-CE1E866B9D46}">
    <text>14,570 actual</text>
  </threadedComment>
  <threadedComment ref="DJ115" dT="2025-04-04T01:59:01.63" personId="{8BD8153B-0117-43D0-8A87-E841916A0FE6}" id="{CA858B5E-9054-46AF-AA9A-42623CE4A233}">
    <text>17763 actual</text>
  </threadedComment>
  <threadedComment ref="EW115" dT="2022-11-01T06:22:58.56" personId="{8BD8153B-0117-43D0-8A87-E841916A0FE6}" id="{683B9782-E7EA-4C42-9B71-E1DDCE9C7C9C}">
    <text>81288 actual</text>
  </threadedComment>
  <threadedComment ref="EX115" dT="2022-07-28T12:12:42.48" personId="{8BD8153B-0117-43D0-8A87-E841916A0FE6}" id="{20FF6B80-522A-44AC-BB2D-CF6072448AA8}">
    <text>Q222: reaffirms guidance 98-102B (+2B operationally due to FX)
Q122: reaffirms guidance 98-120B
Q421: initiates 98-102B guidance</text>
  </threadedComment>
  <threadedComment ref="EY115" dT="2023-01-31T15:23:38.91" personId="{8BD8153B-0117-43D0-8A87-E841916A0FE6}" id="{AF36EEB3-AD93-43FB-8166-0D23195CDA8B}">
    <text>67-71B 2023 guidance given Q422
59,553 actual</text>
  </threadedComment>
  <threadedComment ref="EZ115" dT="2024-11-22T13:26:20.10" personId="{8BD8153B-0117-43D0-8A87-E841916A0FE6}" id="{1DF4C0C5-DE32-44FE-9A5D-47D60D334134}">
    <text>Q3 2024: 61-64B guidance
63,627 actual</text>
  </threadedComment>
  <threadedComment ref="FA115" dT="2025-04-03T18:20:49.26" personId="{8BD8153B-0117-43D0-8A87-E841916A0FE6}" id="{15DC389D-A6C8-4A63-92A4-F8BED2930885}">
    <text>61-64B guidance</text>
  </threadedComment>
  <threadedComment ref="FF115" dT="2023-01-31T15:08:31.46" personId="{8BD8153B-0117-43D0-8A87-E841916A0FE6}" id="{969812BA-06E1-416F-B0AC-89AE4AAFFFF7}">
    <text>84B guidance</text>
  </threadedComment>
  <threadedComment ref="FC116" dT="2024-11-22T13:29:14.08" personId="{8BD8153B-0117-43D0-8A87-E841916A0FE6}" id="{2A72A121-4E72-4720-BD91-49E44ABB0622}">
    <text>Q324: 1.5B reduction by 2027</text>
  </threadedComment>
  <threadedComment ref="EX118" dT="2022-09-10T09:59:07.41" personId="{8BD8153B-0117-43D0-8A87-E841916A0FE6}" id="{822253A5-163B-40A6-9913-D31DD8980881}">
    <text>Q222 guidance: 12.2-13.2B
Q122 guidance: 12.5-13.5B
Q421 guidance: 12.5-13.5B</text>
  </threadedComment>
  <threadedComment ref="EY118" dT="2023-01-31T15:26:26.00" personId="{8BD8153B-0117-43D0-8A87-E841916A0FE6}" id="{9F40A5AC-9928-48A5-9E23-B4A80250E7FF}">
    <text>13.8-14.8 guidance given in Q422</text>
  </threadedComment>
  <threadedComment ref="EZ118" dT="2025-04-03T18:25:46.84" personId="{8BD8153B-0117-43D0-8A87-E841916A0FE6}" id="{2A6A2086-80E6-4254-8F23-FA6D1A8F3348}">
    <text>Q424: 13.3-14.3B</text>
  </threadedComment>
  <threadedComment ref="CU119" dT="2022-11-01T05:52:07.99" personId="{8BD8153B-0117-43D0-8A87-E841916A0FE6}" id="{46AB17C8-C512-4F83-8DD5-5EAEF0B5D575}">
    <text>1994m actual</text>
  </threadedComment>
  <threadedComment ref="CY119" dT="2022-11-01T05:52:00.93" personId="{8BD8153B-0117-43D0-8A87-E841916A0FE6}" id="{93230A79-7458-4246-8AC9-E1155292A69B}">
    <text>2301m actual</text>
  </threadedComment>
  <threadedComment ref="EX119" dT="2022-09-10T09:59:17.41" personId="{8BD8153B-0117-43D0-8A87-E841916A0FE6}" id="{38FB92C4-0C09-430D-BE45-40E02FCCBC59}">
    <text>Q2 guidance: 11.5-12.0B
Q1 guidance: 11.0-12.0B from 10.5-11.5B
Q421 guidance: 10.5-11.5B for 2022</text>
  </threadedComment>
  <threadedComment ref="EY119" dT="2023-01-31T15:26:35.71" personId="{8BD8153B-0117-43D0-8A87-E841916A0FE6}" id="{7018CE06-4564-4CAD-88ED-A0333810FE65}">
    <text>12.4-13.4B guidance given in Q422</text>
  </threadedComment>
  <threadedComment ref="EZ119" dT="2024-11-22T13:28:59.09" personId="{8BD8153B-0117-43D0-8A87-E841916A0FE6}" id="{22C14416-C1C4-4F22-8E97-A7F4179DA791}">
    <text>Q424: 10.7-11.7
4B cost reduction savings</text>
  </threadedComment>
  <threadedComment ref="CW120" dT="2023-01-31T05:19:08.72" personId="{8BD8153B-0117-43D0-8A87-E841916A0FE6}" id="{67784DD6-0C5D-42FA-B372-2E2835E5D2EE}">
    <text>10172 adjNI</text>
  </threadedComment>
  <threadedComment ref="CU121" dT="2022-11-01T05:49:42.76" personId="{8BD8153B-0117-43D0-8A87-E841916A0FE6}" id="{4CCFFF11-76ED-4A92-B203-F80F8F84CD8F}">
    <text>336m net interest expense
176m royalty income
62m consumer JV income</text>
  </threadedComment>
  <threadedComment ref="CV121" dT="2022-10-31T16:32:22.41" personId="{8BD8153B-0117-43D0-8A87-E841916A0FE6}" id="{4B315500-6997-4A05-A1D1-EDD2C3592B09}">
    <text>GAAP: +1343
Interest: -303
Royalty +212
Consumer +140
Co NG suggestion: +576m</text>
  </threadedComment>
  <threadedComment ref="EX121" dT="2022-09-10T10:00:13.15" personId="{8BD8153B-0117-43D0-8A87-E841916A0FE6}" id="{4720E812-008D-402E-B4B6-D6BD80C8F06D}">
    <text>Q222 guidance: 1.9B</text>
  </threadedComment>
  <threadedComment ref="EY125" dT="2023-01-31T15:26:48.00" personId="{8BD8153B-0117-43D0-8A87-E841916A0FE6}" id="{C71154CD-B193-48F5-98B8-CBB12861830C}">
    <text>15% tax rate</text>
  </threadedComment>
  <threadedComment ref="EZ125" dT="2025-04-03T18:26:20.79" personId="{8BD8153B-0117-43D0-8A87-E841916A0FE6}" id="{21A04DF6-628E-420C-99DD-4083E0B22C45}">
    <text>Q424: 15% tax rate</text>
  </threadedComment>
  <threadedComment ref="CL126" dT="2023-01-31T06:02:53.45" personId="{8BD8153B-0117-43D0-8A87-E841916A0FE6}" id="{C8AA044E-FA5E-4CC5-8D6A-64602A7EBFF5}">
    <text>3760m adj NI reported Q419</text>
  </threadedComment>
  <threadedComment ref="CM126" dT="2023-01-31T05:50:46.24" personId="{8BD8153B-0117-43D0-8A87-E841916A0FE6}" id="{02C69F6A-87D0-4343-A820-E516E23F0AA9}">
    <text>4891 adj NI reported in Q120</text>
  </threadedComment>
  <threadedComment ref="CP126" dT="2023-01-31T06:03:00.84" personId="{8BD8153B-0117-43D0-8A87-E841916A0FE6}" id="{6BC32560-7662-4B3C-8E98-0AA8576B4B3D}">
    <text>3108 adj NI</text>
  </threadedComment>
  <threadedComment ref="CQ126" dT="2023-01-31T05:49:54.66" personId="{8BD8153B-0117-43D0-8A87-E841916A0FE6}" id="{8E0BD8B7-C3CF-4B39-90AB-693BF63011AF}">
    <text>4514 adj NI</text>
  </threadedComment>
  <threadedComment ref="CT126" dT="2022-11-01T06:39:34.26" personId="{8BD8153B-0117-43D0-8A87-E841916A0FE6}" id="{6B079B41-3EE7-4D38-B0F0-E4FA7F0A7D53}">
    <text>2434 actual adj NI</text>
  </threadedComment>
  <threadedComment ref="CU126" dT="2022-10-31T16:51:17.69" personId="{8BD8153B-0117-43D0-8A87-E841916A0FE6}" id="{2FB486A7-B6E4-40F0-A4B2-CC7F5B3BC176}">
    <text>Adj NI 5351</text>
  </threadedComment>
  <threadedComment ref="CV126" dT="2022-09-10T09:52:01.14" personId="{8BD8153B-0117-43D0-8A87-E841916A0FE6}" id="{02FB5D7C-5EC6-47C8-9D46-15A2174DAF41}">
    <text>6023 adj NI</text>
  </threadedComment>
  <threadedComment ref="CW126" dT="2023-01-31T05:18:16.93" personId="{8BD8153B-0117-43D0-8A87-E841916A0FE6}" id="{500ED52D-07B6-4964-A0B2-D1384FE70B9D}">
    <text>adjNI 7279</text>
  </threadedComment>
  <threadedComment ref="CX126" dT="2022-11-01T06:39:26.50" personId="{8BD8153B-0117-43D0-8A87-E841916A0FE6}" id="{9DFCE4AC-161F-43AA-A5AB-C8983ABAFBA3}">
    <text>6239 actual adj NI</text>
  </threadedComment>
  <threadedComment ref="CY126" dT="2022-10-31T16:51:11.02" personId="{8BD8153B-0117-43D0-8A87-E841916A0FE6}" id="{6DFAC4C1-483E-4590-8089-9E06BB38D01F}">
    <text>Adj NI 9338</text>
  </threadedComment>
  <threadedComment ref="CZ126" dT="2022-09-10T09:52:06.16" personId="{8BD8153B-0117-43D0-8A87-E841916A0FE6}" id="{5A7E375B-6B0C-465E-8DCE-F0D8D2D9FB85}">
    <text>11656 adj NI</text>
  </threadedComment>
  <threadedComment ref="DA126" dT="2023-01-31T05:19:53.90" personId="{8BD8153B-0117-43D0-8A87-E841916A0FE6}" id="{7E12C946-D1C8-4A58-9389-97116F73151B}">
    <text>10172 adj NI</text>
  </threadedComment>
  <threadedComment ref="DB126" dT="2023-01-31T14:50:54.82" personId="{8BD8153B-0117-43D0-8A87-E841916A0FE6}" id="{736AD51E-31A5-45A4-9277-9389BB8FD1C6}">
    <text>6551 adj NI</text>
  </threadedComment>
  <threadedComment ref="DF126" dT="2025-04-04T12:56:33.70" personId="{8BD8153B-0117-43D0-8A87-E841916A0FE6}" id="{6179C016-99FD-47EB-9B08-9611106B4E68}">
    <text>593 adj NI</text>
  </threadedComment>
  <threadedComment ref="DJ126" dT="2025-04-04T12:56:26.92" personId="{8BD8153B-0117-43D0-8A87-E841916A0FE6}" id="{598222A9-21C8-4D19-9844-EEEC829C168A}">
    <text>3592 adj NI</text>
  </threadedComment>
  <threadedComment ref="EV126" dT="2022-11-01T06:40:22.31" personId="{8BD8153B-0117-43D0-8A87-E841916A0FE6}" id="{F1A75182-2AD9-4C39-A2E8-2FB6BD2B738D}">
    <text>12727 actual adj NI</text>
  </threadedComment>
  <threadedComment ref="EW126" dT="2022-11-01T06:40:11.49" personId="{8BD8153B-0117-43D0-8A87-E841916A0FE6}" id="{1A06BA9C-FB50-4468-A663-D7931EBDA294}">
    <text>25236 actual adj NI</text>
  </threadedComment>
  <threadedComment ref="EY126" dT="2025-04-04T13:02:30.37" personId="{8BD8153B-0117-43D0-8A87-E841916A0FE6}" id="{0695F87C-27FD-450E-9869-B928F75C3FA1}">
    <text>10501 adj NI</text>
  </threadedComment>
  <threadedComment ref="EZ126" dT="2025-04-04T13:02:22.65" personId="{8BD8153B-0117-43D0-8A87-E841916A0FE6}" id="{715694F3-C9BD-4901-8238-EF210F261DD6}">
    <text>17716 adj NI</text>
  </threadedComment>
  <threadedComment ref="CT127" dT="2022-11-01T06:39:45.39" personId="{8BD8153B-0117-43D0-8A87-E841916A0FE6}" id="{2F9D2393-8AEA-4796-A6DA-5AFFCA0EF366}">
    <text>0.43 actual adj EPS</text>
  </threadedComment>
  <threadedComment ref="CV127" dT="2022-09-10T09:51:50.56" personId="{8BD8153B-0117-43D0-8A87-E841916A0FE6}" id="{658EE746-4F28-4C60-B8C3-3A30A6E66FA3}">
    <text>1.06 adj EPS</text>
  </threadedComment>
  <threadedComment ref="CX127" dT="2022-11-01T06:19:42.77" personId="{8BD8153B-0117-43D0-8A87-E841916A0FE6}" id="{8F79B299-B54A-4806-8985-467AD571F338}">
    <text>1.08 adj EPS</text>
  </threadedComment>
  <threadedComment ref="CY127" dT="2022-10-31T16:43:53.53" personId="{8BD8153B-0117-43D0-8A87-E841916A0FE6}" id="{B24CBC24-6DCB-4417-9096-2FB81F15C1A3}">
    <text>Adj EPS 1.62</text>
  </threadedComment>
  <threadedComment ref="CZ127" dT="2022-09-10T08:34:04.98" personId="{8BD8153B-0117-43D0-8A87-E841916A0FE6}" id="{7CB0AF66-05C0-4684-A6E1-72A5FC4846D9}">
    <text>Adj EPS 2.04</text>
  </threadedComment>
  <threadedComment ref="DF127" dT="2025-04-04T13:00:00.90" personId="{8BD8153B-0117-43D0-8A87-E841916A0FE6}" id="{EF400A61-8487-4955-8D65-26C556923255}">
    <text>0.10 adj EPS</text>
  </threadedComment>
  <threadedComment ref="DJ127" dT="2025-04-04T12:52:56.15" personId="{8BD8153B-0117-43D0-8A87-E841916A0FE6}" id="{E2B201B5-FB54-472B-934B-865B93C95ABF}">
    <text>0.63 adjusted diluted EPS</text>
  </threadedComment>
  <threadedComment ref="EV127" dT="2022-11-01T06:40:52.96" personId="{8BD8153B-0117-43D0-8A87-E841916A0FE6}" id="{B148E439-FDE1-4124-8004-0292797A56CD}">
    <text>Actual adj 2.26 EPS</text>
  </threadedComment>
  <threadedComment ref="EW127" dT="2022-09-10T09:56:42.39" personId="{8BD8153B-0117-43D0-8A87-E841916A0FE6}" id="{05DE658F-B4BD-4BDE-A3A5-1A693980BEA7}">
    <text>Q222: adjusted to 4.06
FY21 reported adj EPS 4.42</text>
  </threadedComment>
  <threadedComment ref="EX127" dT="2022-09-10T08:57:45.57" personId="{8BD8153B-0117-43D0-8A87-E841916A0FE6}" id="{D39B9572-0A26-460A-B42B-E9D8BFEDA417}">
    <text>Q222: raised EPS guidance to 6.30-6.45 (+0.24 operationally) from 6.25-6.45
Q122: 6.25-6.45 reflecting 0.11 IPR&amp;D from 6.35-6.55
Q421: 6.35-6.55 for 2022</text>
  </threadedComment>
  <threadedComment ref="EY127" dT="2025-04-04T13:02:49.83" personId="{8BD8153B-0117-43D0-8A87-E841916A0FE6}" id="{65C746EA-BD4D-4CAD-AD24-3141C7528F27}">
    <text>1.84 adj EPS</text>
  </threadedComment>
  <threadedComment ref="EZ127" dT="2024-11-22T13:26:39.49" personId="{8BD8153B-0117-43D0-8A87-E841916A0FE6}" id="{8D72EABE-94D0-4B4D-AEB7-82FA7570459B}">
    <text>Q3 2024 guidance: 2.75-2.95
3.11 adjusted diluted EPS</text>
  </threadedComment>
  <threadedComment ref="FA127" dT="2025-04-03T18:21:40.84" personId="{8BD8153B-0117-43D0-8A87-E841916A0FE6}" id="{4D62E576-8008-4ADF-AEDA-360EEA41415D}">
    <text>Q424: 2.80-3.10</text>
  </threadedComment>
  <threadedComment ref="EX128" dT="2022-09-10T09:58:16.72" personId="{8BD8153B-0117-43D0-8A87-E841916A0FE6}" id="{55A6C5B1-AEE7-4F4D-9994-CF51133E5C48}">
    <text>Q222: 5750m guidance
Q122: 5750m guidance</text>
  </threadedComment>
  <threadedComment ref="EX130" dT="2022-09-10T09:58:41.52" personId="{8BD8153B-0117-43D0-8A87-E841916A0FE6}" id="{7CF40854-9B4F-46C3-A4C7-AF8958B1AEBE}">
    <text>Q222 guidance: 66-68%
Q122 guidance: 66-68% from 65.8%-67.8%
Q421: 65.8%-67.8%</text>
  </threadedComment>
  <threadedComment ref="EY130" dT="2023-01-31T15:26:01.73" personId="{8BD8153B-0117-43D0-8A87-E841916A0FE6}" id="{AF75AD33-DCB9-440E-A0F0-2EE7BB39C3AF}">
    <text>70-72% guidance given Q422</text>
  </threadedComment>
  <threadedComment ref="EX134" dT="2022-11-01T08:02:19.34" personId="{8BD8153B-0117-43D0-8A87-E841916A0FE6}" id="{8F724064-5364-484A-8426-B15ACC4FE5C0}">
    <text>16% tax rate adj NI</text>
  </threadedComment>
  <threadedComment ref="CZ140" dT="2022-09-10T10:04:21.47" personId="{8BD8153B-0117-43D0-8A87-E841916A0FE6}" id="{C627D00D-EDA3-4474-A055-13323D4F203C}">
    <text>+1% excluding COVID</text>
  </threadedComment>
  <threadedComment ref="DI140" dT="2024-11-22T13:28:04.90" personId="{8BD8153B-0117-43D0-8A87-E841916A0FE6}" id="{B30FCB0D-D6BD-47D4-99C8-6CF789D7E8FB}">
    <text>14% excluding COVID-19</text>
  </threadedComment>
  <threadedComment ref="DJ140" dT="2025-04-03T18:19:36.81" personId="{8BD8153B-0117-43D0-8A87-E841916A0FE6}" id="{3D7CF891-C6FB-4818-8568-C7763AA6EF7F}">
    <text>Excluding Paxlovid/Comirnaty, otherwise +21%</text>
  </threadedComment>
  <threadedComment ref="EW140" dT="2022-11-01T06:17:14.94" personId="{8BD8153B-0117-43D0-8A87-E841916A0FE6}" id="{C587F16D-80B0-468A-95C1-4CD8861AEDCB}">
    <text>6% excluding COVID</text>
  </threadedComment>
  <threadedComment ref="CY189" dT="2023-01-31T04:19:21.84" personId="{8BD8153B-0117-43D0-8A87-E841916A0FE6}" id="{1F116209-3EE9-4C63-87AE-EE843ECBE2D6}">
    <text>6.2B for Arena</text>
  </threadedComment>
  <threadedComment ref="CZ189"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75"/>
  <sheetData>
    <row r="2" spans="2:5">
      <c r="B2" s="102" t="s">
        <v>1631</v>
      </c>
    </row>
    <row r="3" spans="2:5">
      <c r="B3" s="102" t="s">
        <v>1628</v>
      </c>
    </row>
    <row r="4" spans="2:5">
      <c r="B4" s="102" t="s">
        <v>1629</v>
      </c>
    </row>
    <row r="5" spans="2:5">
      <c r="B5" s="102" t="s">
        <v>1630</v>
      </c>
    </row>
    <row r="7" spans="2:5">
      <c r="B7" s="102" t="s">
        <v>1632</v>
      </c>
      <c r="E7" s="102" t="s">
        <v>1676</v>
      </c>
    </row>
    <row r="8" spans="2:5">
      <c r="B8" s="102" t="s">
        <v>1633</v>
      </c>
    </row>
    <row r="10" spans="2:5">
      <c r="B10" s="102" t="s">
        <v>1634</v>
      </c>
      <c r="C10" s="102" t="s">
        <v>1640</v>
      </c>
    </row>
    <row r="11" spans="2:5">
      <c r="B11" s="102" t="s">
        <v>1635</v>
      </c>
      <c r="C11" s="102" t="s">
        <v>1640</v>
      </c>
    </row>
    <row r="12" spans="2:5">
      <c r="B12" s="102" t="s">
        <v>1636</v>
      </c>
      <c r="C12" s="102" t="s">
        <v>1640</v>
      </c>
    </row>
    <row r="13" spans="2:5">
      <c r="B13" s="102" t="s">
        <v>1637</v>
      </c>
      <c r="C13" s="102" t="s">
        <v>1640</v>
      </c>
    </row>
    <row r="14" spans="2:5">
      <c r="B14" s="102" t="s">
        <v>1638</v>
      </c>
      <c r="C14" s="102" t="s">
        <v>1640</v>
      </c>
    </row>
    <row r="15" spans="2:5">
      <c r="B15" s="102" t="s">
        <v>1639</v>
      </c>
      <c r="C15" s="102" t="s">
        <v>1640</v>
      </c>
    </row>
    <row r="16" spans="2:5">
      <c r="B16" s="102" t="s">
        <v>1641</v>
      </c>
      <c r="C16" s="102" t="s">
        <v>1642</v>
      </c>
    </row>
    <row r="17" spans="2:7">
      <c r="B17" s="102" t="s">
        <v>1643</v>
      </c>
      <c r="C17" s="102" t="s">
        <v>1647</v>
      </c>
    </row>
    <row r="18" spans="2:7">
      <c r="B18" s="102" t="s">
        <v>1644</v>
      </c>
      <c r="C18" s="102" t="s">
        <v>1647</v>
      </c>
    </row>
    <row r="19" spans="2:7">
      <c r="B19" s="102" t="s">
        <v>1645</v>
      </c>
      <c r="C19" s="102" t="s">
        <v>1647</v>
      </c>
    </row>
    <row r="20" spans="2:7">
      <c r="B20" s="102" t="s">
        <v>1627</v>
      </c>
      <c r="C20" s="102" t="s">
        <v>1647</v>
      </c>
      <c r="G20" s="102" t="s">
        <v>1674</v>
      </c>
    </row>
    <row r="21" spans="2:7">
      <c r="B21" s="102" t="s">
        <v>1646</v>
      </c>
      <c r="C21" s="102" t="s">
        <v>1647</v>
      </c>
    </row>
    <row r="22" spans="2:7">
      <c r="B22" s="102" t="s">
        <v>1648</v>
      </c>
      <c r="C22" s="102" t="s">
        <v>1649</v>
      </c>
    </row>
    <row r="23" spans="2:7">
      <c r="B23" s="102" t="s">
        <v>1650</v>
      </c>
      <c r="C23" s="102" t="s">
        <v>1658</v>
      </c>
    </row>
    <row r="24" spans="2:7">
      <c r="B24" s="102" t="s">
        <v>1651</v>
      </c>
      <c r="C24" s="102" t="s">
        <v>1658</v>
      </c>
    </row>
    <row r="25" spans="2:7">
      <c r="B25" s="102" t="s">
        <v>1652</v>
      </c>
      <c r="C25" s="102" t="s">
        <v>1658</v>
      </c>
    </row>
    <row r="26" spans="2:7">
      <c r="B26" s="102" t="s">
        <v>1653</v>
      </c>
      <c r="C26" s="102" t="s">
        <v>1658</v>
      </c>
      <c r="G26" s="102" t="s">
        <v>1675</v>
      </c>
    </row>
    <row r="27" spans="2:7">
      <c r="B27" s="102" t="s">
        <v>1654</v>
      </c>
      <c r="C27" s="102" t="s">
        <v>1658</v>
      </c>
    </row>
    <row r="28" spans="2:7">
      <c r="B28" s="102" t="s">
        <v>1655</v>
      </c>
      <c r="C28" s="102" t="s">
        <v>1658</v>
      </c>
    </row>
    <row r="29" spans="2:7">
      <c r="B29" s="102" t="s">
        <v>1656</v>
      </c>
      <c r="C29" s="102" t="s">
        <v>1658</v>
      </c>
    </row>
    <row r="30" spans="2:7">
      <c r="B30" s="102" t="s">
        <v>1657</v>
      </c>
      <c r="C30" s="102" t="s">
        <v>1658</v>
      </c>
    </row>
    <row r="31" spans="2:7">
      <c r="B31" s="102" t="s">
        <v>1659</v>
      </c>
    </row>
    <row r="32" spans="2:7">
      <c r="B32" s="102" t="s">
        <v>1660</v>
      </c>
    </row>
    <row r="33" spans="2:7">
      <c r="B33" s="102" t="s">
        <v>80</v>
      </c>
    </row>
    <row r="34" spans="2:7">
      <c r="B34" s="102" t="s">
        <v>1661</v>
      </c>
    </row>
    <row r="35" spans="2:7">
      <c r="B35" s="102" t="s">
        <v>1662</v>
      </c>
    </row>
    <row r="36" spans="2:7">
      <c r="B36" s="102" t="s">
        <v>1663</v>
      </c>
    </row>
    <row r="37" spans="2:7">
      <c r="B37" s="118" t="s">
        <v>1664</v>
      </c>
      <c r="D37" s="102" t="s">
        <v>1672</v>
      </c>
      <c r="G37" s="102" t="s">
        <v>1673</v>
      </c>
    </row>
    <row r="38" spans="2:7">
      <c r="B38" s="102" t="s">
        <v>1665</v>
      </c>
    </row>
    <row r="39" spans="2:7">
      <c r="B39" s="102" t="s">
        <v>1666</v>
      </c>
    </row>
    <row r="40" spans="2:7">
      <c r="B40" s="102" t="s">
        <v>1667</v>
      </c>
    </row>
    <row r="41" spans="2:7">
      <c r="B41" s="102" t="s">
        <v>1668</v>
      </c>
    </row>
    <row r="42" spans="2:7">
      <c r="B42" s="102" t="s">
        <v>1669</v>
      </c>
    </row>
    <row r="43" spans="2:7">
      <c r="B43" s="102" t="s">
        <v>1670</v>
      </c>
    </row>
    <row r="44" spans="2:7">
      <c r="B44" s="102" t="s">
        <v>1671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1538</v>
      </c>
    </row>
    <row r="7" spans="1:3">
      <c r="B7" s="102" t="s">
        <v>932</v>
      </c>
    </row>
    <row r="8" spans="1:3">
      <c r="C8" s="38" t="s">
        <v>1533</v>
      </c>
    </row>
    <row r="9" spans="1:3">
      <c r="C9" s="102" t="s">
        <v>1468</v>
      </c>
    </row>
    <row r="11" spans="1:3">
      <c r="C11" s="38" t="s">
        <v>1534</v>
      </c>
    </row>
    <row r="13" spans="1:3">
      <c r="C13" s="38" t="s">
        <v>1537</v>
      </c>
    </row>
    <row r="14" spans="1:3">
      <c r="C14" s="102" t="s">
        <v>1535</v>
      </c>
    </row>
    <row r="15" spans="1:3">
      <c r="C15" s="102" t="s">
        <v>1536</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75"/>
  <cols>
    <col min="1" max="1" width="5" bestFit="1" customWidth="1"/>
    <col min="2" max="2" width="12.140625" bestFit="1" customWidth="1"/>
  </cols>
  <sheetData>
    <row r="1" spans="1:3">
      <c r="A1" s="16" t="s">
        <v>0</v>
      </c>
    </row>
    <row r="2" spans="1:3">
      <c r="B2" s="102" t="s">
        <v>1397</v>
      </c>
      <c r="C2" s="102" t="s">
        <v>1677</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c r="C14" s="34" t="s">
        <v>1202</v>
      </c>
    </row>
    <row r="16" spans="1:3">
      <c r="C16" s="22" t="s">
        <v>1203</v>
      </c>
    </row>
    <row r="17" spans="3:3">
      <c r="C17" s="22" t="s">
        <v>1204</v>
      </c>
    </row>
    <row r="18" spans="3:3">
      <c r="C18" s="22" t="s">
        <v>1205</v>
      </c>
    </row>
    <row r="19" spans="3:3">
      <c r="C19" s="14" t="s">
        <v>1206</v>
      </c>
    </row>
    <row r="21" spans="3:3">
      <c r="C21" s="4" t="s">
        <v>1207</v>
      </c>
    </row>
    <row r="23" spans="3:3">
      <c r="C23" s="22" t="s">
        <v>1208</v>
      </c>
    </row>
    <row r="24" spans="3:3">
      <c r="C24" s="4" t="s">
        <v>1209</v>
      </c>
    </row>
    <row r="25" spans="3:3">
      <c r="C25" s="4" t="s">
        <v>1210</v>
      </c>
    </row>
    <row r="27" spans="3:3">
      <c r="C27" s="22" t="s">
        <v>1211</v>
      </c>
    </row>
    <row r="28" spans="3:3">
      <c r="C28" s="4" t="s">
        <v>1212</v>
      </c>
    </row>
    <row r="29" spans="3:3">
      <c r="C29" s="4" t="s">
        <v>1213</v>
      </c>
    </row>
    <row r="30" spans="3:3">
      <c r="C30" s="4" t="s">
        <v>1214</v>
      </c>
    </row>
    <row r="32" spans="3:3">
      <c r="C32" s="22" t="s">
        <v>1215</v>
      </c>
    </row>
    <row r="33" spans="3:3">
      <c r="C33" s="4" t="s">
        <v>1216</v>
      </c>
    </row>
    <row r="34" spans="3:3">
      <c r="C34" s="4" t="s">
        <v>1217</v>
      </c>
    </row>
    <row r="36" spans="3: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c r="C45" s="34" t="s">
        <v>1224</v>
      </c>
    </row>
    <row r="46" spans="3:3" s="31" customFormat="1"/>
    <row r="47" spans="3:3" s="31" customFormat="1">
      <c r="C47" s="34" t="s">
        <v>1225</v>
      </c>
    </row>
    <row r="49" spans="3:3">
      <c r="C49" s="22" t="s">
        <v>1226</v>
      </c>
    </row>
    <row r="50" spans="3:3">
      <c r="C50" s="14" t="s">
        <v>1227</v>
      </c>
    </row>
    <row r="51" spans="3:3">
      <c r="C51" s="4" t="s">
        <v>1228</v>
      </c>
    </row>
    <row r="52" spans="3:3">
      <c r="C52" s="4" t="s">
        <v>1229</v>
      </c>
    </row>
    <row r="62" spans="3:3">
      <c r="C62" s="14"/>
    </row>
    <row r="80" spans="3: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1539</v>
      </c>
    </row>
    <row r="3" spans="1:29">
      <c r="B3" s="102" t="s">
        <v>3</v>
      </c>
      <c r="C3" s="102" t="s">
        <v>886</v>
      </c>
    </row>
    <row r="4" spans="1:29">
      <c r="B4" s="102" t="s">
        <v>5</v>
      </c>
      <c r="C4" s="102" t="s">
        <v>1516</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1540</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c r="C14" s="22" t="s">
        <v>933</v>
      </c>
    </row>
    <row r="15" spans="1:3">
      <c r="C15" s="4" t="s">
        <v>934</v>
      </c>
    </row>
    <row r="17" spans="3:3">
      <c r="C17" s="22" t="s">
        <v>935</v>
      </c>
    </row>
    <row r="18" spans="3:3">
      <c r="C18" s="4" t="s">
        <v>936</v>
      </c>
    </row>
    <row r="19" spans="3:3">
      <c r="C19" s="4" t="s">
        <v>937</v>
      </c>
    </row>
    <row r="21" spans="3: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c r="C39" s="22" t="s">
        <v>953</v>
      </c>
    </row>
    <row r="40" spans="3:3">
      <c r="C40" s="14" t="s">
        <v>954</v>
      </c>
    </row>
    <row r="41" spans="3:3">
      <c r="C41" s="4" t="s">
        <v>955</v>
      </c>
    </row>
    <row r="42" spans="3:3">
      <c r="C42" s="4" t="s">
        <v>956</v>
      </c>
    </row>
    <row r="43" spans="3:3">
      <c r="C43" s="4" t="s">
        <v>957</v>
      </c>
    </row>
    <row r="44" spans="3:3">
      <c r="C44" s="33" t="s">
        <v>958</v>
      </c>
    </row>
    <row r="45" spans="3:3">
      <c r="C45" s="5" t="s">
        <v>959</v>
      </c>
    </row>
    <row r="46" spans="3:3">
      <c r="C46" s="5" t="s">
        <v>960</v>
      </c>
    </row>
    <row r="47" spans="3:3">
      <c r="C47" s="14" t="s">
        <v>961</v>
      </c>
    </row>
    <row r="49" spans="3:3">
      <c r="C49" s="22" t="s">
        <v>962</v>
      </c>
    </row>
    <row r="50" spans="3:3">
      <c r="C50" s="4" t="s">
        <v>963</v>
      </c>
    </row>
    <row r="52" spans="3:3">
      <c r="C52" s="22" t="s">
        <v>964</v>
      </c>
    </row>
    <row r="53" spans="3:3">
      <c r="C53" s="4" t="s">
        <v>965</v>
      </c>
    </row>
    <row r="54" spans="3:3">
      <c r="C54" s="4" t="s">
        <v>966</v>
      </c>
    </row>
    <row r="56" spans="3: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c r="C10" s="22" t="s">
        <v>1180</v>
      </c>
    </row>
    <row r="11" spans="1:3">
      <c r="C11" s="4" t="s">
        <v>218</v>
      </c>
    </row>
    <row r="13" spans="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1527</v>
      </c>
    </row>
    <row r="3" spans="1:3">
      <c r="B3" s="102" t="s">
        <v>1398</v>
      </c>
      <c r="C3" s="102" t="s">
        <v>1521</v>
      </c>
    </row>
    <row r="4" spans="1:3">
      <c r="B4" s="102" t="s">
        <v>5</v>
      </c>
      <c r="C4" s="102" t="s">
        <v>1522</v>
      </c>
    </row>
    <row r="5" spans="1:3">
      <c r="B5" s="102" t="s">
        <v>932</v>
      </c>
    </row>
    <row r="6" spans="1:3">
      <c r="C6" s="38" t="s">
        <v>1523</v>
      </c>
    </row>
    <row r="7" spans="1:3">
      <c r="C7" s="102" t="s">
        <v>1524</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1235</v>
      </c>
    </row>
    <row r="3" spans="1:9">
      <c r="B3" s="41" t="s">
        <v>9</v>
      </c>
      <c r="C3" s="42" t="s">
        <v>1236</v>
      </c>
      <c r="D3" s="42" t="s">
        <v>1237</v>
      </c>
      <c r="E3" s="43">
        <v>1</v>
      </c>
      <c r="F3" s="42" t="s">
        <v>114</v>
      </c>
      <c r="G3" s="42" t="s">
        <v>1238</v>
      </c>
      <c r="H3" s="42" t="s">
        <v>141</v>
      </c>
    </row>
    <row r="4" spans="1:9">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1528</v>
      </c>
    </row>
    <row r="7" spans="1:3">
      <c r="B7" s="102" t="s">
        <v>932</v>
      </c>
    </row>
    <row r="8" spans="1:3">
      <c r="C8" s="38" t="s">
        <v>1463</v>
      </c>
    </row>
    <row r="10" spans="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c r="C9" s="38" t="s">
        <v>1489</v>
      </c>
    </row>
    <row r="10" spans="1:3">
      <c r="C10" s="102" t="s">
        <v>1490</v>
      </c>
    </row>
    <row r="12" spans="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1555</v>
      </c>
    </row>
    <row r="4" spans="1:3">
      <c r="B4" s="102" t="s">
        <v>5</v>
      </c>
      <c r="C4" s="102" t="s">
        <v>1553</v>
      </c>
    </row>
    <row r="5" spans="1:3">
      <c r="B5" s="102" t="s">
        <v>884</v>
      </c>
      <c r="C5" s="102" t="s">
        <v>1554</v>
      </c>
    </row>
    <row r="6" spans="1:3">
      <c r="B6" s="102" t="s">
        <v>932</v>
      </c>
    </row>
    <row r="7" spans="1:3">
      <c r="C7" s="38" t="s">
        <v>1556</v>
      </c>
    </row>
    <row r="8" spans="1:3">
      <c r="C8" s="102" t="s">
        <v>1557</v>
      </c>
    </row>
    <row r="9" spans="1:3">
      <c r="C9" s="102" t="s">
        <v>1558</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1397</v>
      </c>
      <c r="C2" s="102" t="s">
        <v>480</v>
      </c>
    </row>
    <row r="3" spans="1:3">
      <c r="B3" s="102" t="s">
        <v>1398</v>
      </c>
    </row>
    <row r="4" spans="1:3">
      <c r="B4" s="102" t="s">
        <v>932</v>
      </c>
    </row>
    <row r="5" spans="1:3">
      <c r="C5" s="38" t="s">
        <v>1559</v>
      </c>
    </row>
    <row r="6" spans="1:3">
      <c r="C6" s="102" t="s">
        <v>1560</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1503</v>
      </c>
    </row>
    <row r="3" spans="1:3">
      <c r="B3" s="102" t="s">
        <v>5</v>
      </c>
      <c r="C3" s="102" t="s">
        <v>1561</v>
      </c>
    </row>
    <row r="4" spans="1:3">
      <c r="B4" s="102" t="s">
        <v>884</v>
      </c>
      <c r="C4" s="102" t="s">
        <v>1562</v>
      </c>
    </row>
    <row r="5" spans="1:3">
      <c r="B5" s="102" t="s">
        <v>932</v>
      </c>
    </row>
    <row r="6" spans="1:3">
      <c r="C6" s="38" t="s">
        <v>1563</v>
      </c>
    </row>
    <row r="8" spans="1:3">
      <c r="C8" s="38" t="s">
        <v>1564</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c r="C8" s="22" t="s">
        <v>1023</v>
      </c>
    </row>
    <row r="9" spans="1:3">
      <c r="C9" s="14" t="s">
        <v>1024</v>
      </c>
    </row>
    <row r="10" spans="1:3">
      <c r="C10" s="14"/>
    </row>
    <row r="11" spans="1:3">
      <c r="C11" s="22" t="s">
        <v>1025</v>
      </c>
    </row>
    <row r="12" spans="1:3">
      <c r="C12" s="14" t="s">
        <v>1026</v>
      </c>
    </row>
    <row r="13" spans="1:3">
      <c r="C13" s="14"/>
    </row>
    <row r="14" spans="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c r="B27" s="5" t="s">
        <v>1038</v>
      </c>
    </row>
    <row r="28" spans="2: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c r="B47" s="34" t="s">
        <v>1052</v>
      </c>
    </row>
    <row r="48" spans="2:2">
      <c r="B48" s="4" t="s">
        <v>1053</v>
      </c>
    </row>
    <row r="50" spans="2:2" s="31" customFormat="1">
      <c r="B50" s="34" t="s">
        <v>1054</v>
      </c>
    </row>
    <row r="52" spans="2:2" s="31" customFormat="1">
      <c r="B52" s="34" t="s">
        <v>1055</v>
      </c>
    </row>
    <row r="54" spans="2:2">
      <c r="B54" s="22" t="s">
        <v>1056</v>
      </c>
    </row>
    <row r="56" spans="2:2" s="31" customFormat="1">
      <c r="B56" s="34" t="s">
        <v>1057</v>
      </c>
    </row>
    <row r="57" spans="2:2" s="31" customFormat="1">
      <c r="B57" s="34"/>
    </row>
    <row r="58" spans="2:2" s="31" customFormat="1">
      <c r="B58" s="34" t="s">
        <v>1058</v>
      </c>
    </row>
    <row r="61" spans="2:2" s="31" customFormat="1">
      <c r="B61" s="34" t="s">
        <v>1059</v>
      </c>
    </row>
    <row r="63" spans="2:2" s="31" customFormat="1">
      <c r="B63" s="34" t="s">
        <v>1060</v>
      </c>
    </row>
    <row r="65" spans="2:2" s="31" customFormat="1">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c r="C13" s="22" t="s">
        <v>1159</v>
      </c>
    </row>
    <row r="14" spans="1:3">
      <c r="C14" s="4" t="s">
        <v>1160</v>
      </c>
    </row>
    <row r="15" spans="1:3">
      <c r="C15" s="25" t="s">
        <v>1161</v>
      </c>
    </row>
    <row r="16" spans="1:3">
      <c r="C16" s="4" t="s">
        <v>1162</v>
      </c>
    </row>
    <row r="19" spans="3:3">
      <c r="C19" s="22" t="s">
        <v>1163</v>
      </c>
    </row>
    <row r="20" spans="3:3">
      <c r="C20" s="4" t="s">
        <v>1164</v>
      </c>
    </row>
    <row r="21" spans="3:3">
      <c r="C21" s="4" t="s">
        <v>1165</v>
      </c>
    </row>
    <row r="24" spans="3: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row>
    <row r="3" spans="1:3">
      <c r="B3" t="s">
        <v>1398</v>
      </c>
      <c r="C3" t="s">
        <v>1548</v>
      </c>
    </row>
    <row r="4" spans="1:3">
      <c r="B4" t="s">
        <v>5</v>
      </c>
      <c r="C4" t="s">
        <v>1549</v>
      </c>
    </row>
    <row r="5" spans="1:3">
      <c r="B5" t="s">
        <v>932</v>
      </c>
    </row>
    <row r="6" spans="1:3">
      <c r="C6" s="38" t="s">
        <v>1550</v>
      </c>
    </row>
    <row r="8" spans="1:3">
      <c r="C8" s="38" t="s">
        <v>1551</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5546875" defaultRowHeight="12.75"/>
  <cols>
    <col min="2" max="2" width="30.710937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1525</v>
      </c>
    </row>
    <row r="52" spans="2:9">
      <c r="B52" s="156" t="s">
        <v>1623</v>
      </c>
    </row>
    <row r="53" spans="2:9">
      <c r="B53" s="156" t="s">
        <v>1624</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c r="C8" s="22" t="s">
        <v>1187</v>
      </c>
    </row>
    <row r="11" spans="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3"/>
  <sheetViews>
    <sheetView tabSelected="1" topLeftCell="D1" zoomScale="145" zoomScaleNormal="145" workbookViewId="0">
      <selection activeCell="L3" sqref="L3"/>
    </sheetView>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25.5</v>
      </c>
    </row>
    <row r="3" spans="1:13">
      <c r="B3" s="191" t="s">
        <v>1352</v>
      </c>
      <c r="C3" s="150" t="s">
        <v>1401</v>
      </c>
      <c r="D3" s="150" t="s">
        <v>1402</v>
      </c>
      <c r="E3" s="151" t="s">
        <v>1403</v>
      </c>
      <c r="F3" s="148"/>
      <c r="G3" s="150" t="s">
        <v>305</v>
      </c>
      <c r="H3" s="189" t="s">
        <v>1404</v>
      </c>
      <c r="J3" t="s">
        <v>299</v>
      </c>
      <c r="K3" s="57">
        <v>5667.3404140000002</v>
      </c>
      <c r="L3" s="135" t="s">
        <v>1607</v>
      </c>
    </row>
    <row r="4" spans="1:13">
      <c r="B4" s="192" t="s">
        <v>1423</v>
      </c>
      <c r="C4" s="150" t="s">
        <v>402</v>
      </c>
      <c r="D4" s="150" t="s">
        <v>403</v>
      </c>
      <c r="E4" s="151">
        <v>1</v>
      </c>
      <c r="F4" s="150"/>
      <c r="G4" s="150" t="s">
        <v>141</v>
      </c>
      <c r="H4" s="153"/>
      <c r="J4" t="s">
        <v>306</v>
      </c>
      <c r="K4" s="57">
        <f>K3*K2</f>
        <v>144517.18055700001</v>
      </c>
    </row>
    <row r="5" spans="1:13">
      <c r="B5" s="146" t="s">
        <v>322</v>
      </c>
      <c r="C5" s="150" t="s">
        <v>323</v>
      </c>
      <c r="D5" s="150" t="s">
        <v>324</v>
      </c>
      <c r="E5" s="151" t="s">
        <v>325</v>
      </c>
      <c r="F5" s="148">
        <v>36573</v>
      </c>
      <c r="G5" s="150" t="s">
        <v>326</v>
      </c>
      <c r="H5" s="153" t="s">
        <v>324</v>
      </c>
      <c r="J5" t="s">
        <v>310</v>
      </c>
      <c r="K5" s="134">
        <v>22704</v>
      </c>
      <c r="L5" s="135" t="s">
        <v>1607</v>
      </c>
      <c r="M5" s="149"/>
    </row>
    <row r="6" spans="1:13">
      <c r="B6" s="146" t="s">
        <v>327</v>
      </c>
      <c r="C6" s="150" t="s">
        <v>323</v>
      </c>
      <c r="D6" s="150" t="s">
        <v>324</v>
      </c>
      <c r="E6" s="147">
        <v>1</v>
      </c>
      <c r="F6" s="148">
        <v>40233</v>
      </c>
      <c r="G6" s="150" t="s">
        <v>326</v>
      </c>
      <c r="H6" s="153" t="s">
        <v>324</v>
      </c>
      <c r="J6" t="s">
        <v>314</v>
      </c>
      <c r="K6" s="57">
        <v>64351</v>
      </c>
      <c r="L6" s="135" t="s">
        <v>1607</v>
      </c>
    </row>
    <row r="7" spans="1:13">
      <c r="B7" s="192" t="s">
        <v>1426</v>
      </c>
      <c r="C7" s="150" t="s">
        <v>1401</v>
      </c>
      <c r="D7" s="150" t="s">
        <v>1410</v>
      </c>
      <c r="E7" s="147">
        <v>1</v>
      </c>
      <c r="F7" s="152"/>
      <c r="G7" s="150" t="s">
        <v>141</v>
      </c>
      <c r="H7" s="153"/>
      <c r="J7" t="s">
        <v>318</v>
      </c>
      <c r="K7" s="57">
        <f>K4-K5+K6</f>
        <v>186164.18055700001</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1515</v>
      </c>
    </row>
    <row r="11" spans="1:13">
      <c r="B11" s="146" t="s">
        <v>307</v>
      </c>
      <c r="C11" s="150" t="s">
        <v>302</v>
      </c>
      <c r="D11" s="150" t="s">
        <v>308</v>
      </c>
      <c r="E11" s="151">
        <v>1</v>
      </c>
      <c r="F11" s="148">
        <v>41219</v>
      </c>
      <c r="G11" s="150" t="s">
        <v>141</v>
      </c>
      <c r="H11" s="153"/>
      <c r="J11" s="102" t="s">
        <v>1568</v>
      </c>
    </row>
    <row r="12" spans="1:13">
      <c r="B12" s="146" t="s">
        <v>311</v>
      </c>
      <c r="C12" s="150" t="s">
        <v>312</v>
      </c>
      <c r="D12" s="150" t="s">
        <v>313</v>
      </c>
      <c r="E12" s="151">
        <v>1</v>
      </c>
      <c r="F12" s="148">
        <v>40935</v>
      </c>
      <c r="G12" s="150" t="s">
        <v>141</v>
      </c>
      <c r="H12" s="153"/>
      <c r="J12" s="102" t="s">
        <v>1687</v>
      </c>
    </row>
    <row r="13" spans="1:13">
      <c r="B13" s="146" t="s">
        <v>315</v>
      </c>
      <c r="C13" s="150" t="s">
        <v>116</v>
      </c>
      <c r="D13" s="150" t="s">
        <v>316</v>
      </c>
      <c r="E13" s="151">
        <v>1</v>
      </c>
      <c r="F13" s="148">
        <v>40781</v>
      </c>
      <c r="G13" s="150" t="s">
        <v>141</v>
      </c>
      <c r="H13" s="153" t="s">
        <v>317</v>
      </c>
      <c r="J13" s="102" t="s">
        <v>1686</v>
      </c>
    </row>
    <row r="14" spans="1:13">
      <c r="B14" s="146" t="s">
        <v>319</v>
      </c>
      <c r="C14" s="1" t="s">
        <v>320</v>
      </c>
      <c r="D14" s="1" t="s">
        <v>321</v>
      </c>
      <c r="E14" s="147">
        <v>1</v>
      </c>
      <c r="F14" s="152">
        <v>38743</v>
      </c>
      <c r="G14" s="1" t="s">
        <v>141</v>
      </c>
      <c r="H14" s="153" t="s">
        <v>1439</v>
      </c>
      <c r="J14" s="102" t="s">
        <v>1692</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1428</v>
      </c>
      <c r="C22" s="150" t="s">
        <v>407</v>
      </c>
      <c r="D22" s="150" t="s">
        <v>1429</v>
      </c>
      <c r="E22" s="147">
        <v>1</v>
      </c>
      <c r="F22" s="150"/>
      <c r="H22" s="153"/>
    </row>
    <row r="23" spans="2:10">
      <c r="B23" s="192" t="s">
        <v>1454</v>
      </c>
      <c r="C23" s="150" t="s">
        <v>1456</v>
      </c>
      <c r="D23" s="150" t="s">
        <v>1457</v>
      </c>
      <c r="E23" s="151" t="s">
        <v>1455</v>
      </c>
      <c r="F23" s="150"/>
      <c r="G23" s="150" t="s">
        <v>141</v>
      </c>
      <c r="H23" s="153"/>
    </row>
    <row r="24" spans="2:10" s="118" customFormat="1">
      <c r="B24" s="156" t="s">
        <v>1432</v>
      </c>
      <c r="C24" s="150" t="s">
        <v>402</v>
      </c>
      <c r="D24" s="150" t="s">
        <v>413</v>
      </c>
      <c r="E24" s="147">
        <v>1</v>
      </c>
      <c r="F24" s="150"/>
      <c r="G24" s="150" t="s">
        <v>209</v>
      </c>
      <c r="H24" s="153"/>
    </row>
    <row r="25" spans="2:10" s="118" customFormat="1">
      <c r="B25" s="156" t="s">
        <v>1541</v>
      </c>
      <c r="C25" s="150" t="s">
        <v>1542</v>
      </c>
      <c r="D25" s="150" t="s">
        <v>324</v>
      </c>
      <c r="E25" s="147">
        <v>1</v>
      </c>
      <c r="F25" s="150"/>
      <c r="G25" s="150"/>
      <c r="H25" s="153"/>
    </row>
    <row r="26" spans="2:10" s="118" customFormat="1">
      <c r="B26" s="156" t="s">
        <v>1543</v>
      </c>
      <c r="C26" s="150" t="s">
        <v>166</v>
      </c>
      <c r="D26" s="150" t="s">
        <v>1544</v>
      </c>
      <c r="E26" s="147">
        <v>1</v>
      </c>
      <c r="F26" s="150" t="s">
        <v>1545</v>
      </c>
      <c r="G26" s="150" t="s">
        <v>141</v>
      </c>
      <c r="H26" s="153"/>
    </row>
    <row r="27" spans="2:10" s="118" customFormat="1">
      <c r="B27" s="156" t="s">
        <v>1529</v>
      </c>
      <c r="C27" s="150" t="s">
        <v>334</v>
      </c>
      <c r="D27" s="150" t="s">
        <v>1532</v>
      </c>
      <c r="E27" s="151" t="s">
        <v>1530</v>
      </c>
      <c r="F27" s="150"/>
      <c r="G27" s="150" t="s">
        <v>1531</v>
      </c>
      <c r="H27" s="153"/>
    </row>
    <row r="28" spans="2:10">
      <c r="B28" s="192" t="s">
        <v>1526</v>
      </c>
      <c r="C28" s="150" t="s">
        <v>151</v>
      </c>
      <c r="D28" s="150" t="s">
        <v>316</v>
      </c>
      <c r="E28" s="151">
        <v>1</v>
      </c>
      <c r="F28" s="150"/>
      <c r="G28" s="150" t="s">
        <v>141</v>
      </c>
      <c r="H28" s="153"/>
    </row>
    <row r="29" spans="2:10" s="168" customFormat="1">
      <c r="B29" s="156" t="s">
        <v>1431</v>
      </c>
      <c r="C29" s="150" t="s">
        <v>412</v>
      </c>
      <c r="D29" s="150" t="s">
        <v>324</v>
      </c>
      <c r="E29" s="147">
        <v>1</v>
      </c>
      <c r="F29" s="150"/>
      <c r="G29" s="1"/>
      <c r="H29" s="153"/>
      <c r="J29" s="102" t="s">
        <v>1497</v>
      </c>
    </row>
    <row r="30" spans="2:10" s="118" customFormat="1">
      <c r="B30" s="156" t="s">
        <v>1435</v>
      </c>
      <c r="C30" s="150" t="s">
        <v>454</v>
      </c>
      <c r="D30" s="150" t="s">
        <v>455</v>
      </c>
      <c r="E30" s="151">
        <v>1</v>
      </c>
      <c r="F30" s="150"/>
      <c r="G30" s="150"/>
      <c r="H30" s="153"/>
      <c r="J30" s="102" t="s">
        <v>1565</v>
      </c>
    </row>
    <row r="31" spans="2:10" s="118" customFormat="1">
      <c r="B31" s="156" t="s">
        <v>1436</v>
      </c>
      <c r="C31" s="150" t="s">
        <v>151</v>
      </c>
      <c r="D31" s="150" t="s">
        <v>508</v>
      </c>
      <c r="E31" s="151">
        <v>1</v>
      </c>
      <c r="F31" s="150"/>
      <c r="G31" s="150"/>
      <c r="H31" s="153"/>
      <c r="J31" s="102" t="s">
        <v>1567</v>
      </c>
    </row>
    <row r="32" spans="2:10">
      <c r="B32" s="156" t="s">
        <v>378</v>
      </c>
      <c r="C32" s="150" t="s">
        <v>379</v>
      </c>
      <c r="D32" s="150" t="s">
        <v>380</v>
      </c>
      <c r="E32" s="151">
        <v>1</v>
      </c>
      <c r="F32" s="1">
        <v>1984</v>
      </c>
      <c r="G32" s="150" t="s">
        <v>141</v>
      </c>
      <c r="H32" s="153" t="s">
        <v>216</v>
      </c>
      <c r="J32" s="102" t="s">
        <v>1416</v>
      </c>
    </row>
    <row r="33" spans="2:10">
      <c r="B33" s="156" t="s">
        <v>1599</v>
      </c>
      <c r="C33" s="150" t="s">
        <v>1600</v>
      </c>
      <c r="D33" s="150" t="s">
        <v>1284</v>
      </c>
      <c r="E33" s="151">
        <v>1</v>
      </c>
      <c r="F33" s="1"/>
      <c r="G33" s="150"/>
      <c r="H33" s="153"/>
      <c r="J33" s="102"/>
    </row>
    <row r="34" spans="2:10" s="118" customFormat="1">
      <c r="B34" s="156" t="s">
        <v>1586</v>
      </c>
      <c r="C34" s="150"/>
      <c r="D34" s="150"/>
      <c r="E34" s="151">
        <v>1</v>
      </c>
      <c r="F34" s="148">
        <v>37270</v>
      </c>
      <c r="G34" s="150" t="s">
        <v>141</v>
      </c>
      <c r="H34" s="153"/>
    </row>
    <row r="35" spans="2:10">
      <c r="B35" s="192" t="s">
        <v>1685</v>
      </c>
      <c r="C35" s="150" t="s">
        <v>1471</v>
      </c>
      <c r="D35" s="150" t="s">
        <v>1472</v>
      </c>
      <c r="E35" s="150" t="s">
        <v>200</v>
      </c>
      <c r="F35" s="150"/>
      <c r="G35" s="150"/>
      <c r="H35" s="193"/>
    </row>
    <row r="36" spans="2:10" s="118" customFormat="1">
      <c r="B36" s="156" t="s">
        <v>1615</v>
      </c>
      <c r="C36" s="150" t="s">
        <v>1603</v>
      </c>
      <c r="D36" s="150" t="s">
        <v>324</v>
      </c>
      <c r="E36" s="151">
        <v>1</v>
      </c>
      <c r="F36" s="150"/>
      <c r="G36" s="150"/>
      <c r="H36" s="153"/>
    </row>
    <row r="37" spans="2:10" s="102" customFormat="1">
      <c r="B37" s="162" t="s">
        <v>394</v>
      </c>
      <c r="C37" s="163" t="s">
        <v>376</v>
      </c>
      <c r="D37" s="163" t="s">
        <v>377</v>
      </c>
      <c r="E37" s="164">
        <v>1</v>
      </c>
      <c r="F37" s="165">
        <v>39507</v>
      </c>
      <c r="G37" s="163" t="s">
        <v>141</v>
      </c>
      <c r="H37" s="167"/>
      <c r="J37" s="102" t="s">
        <v>1417</v>
      </c>
    </row>
    <row r="38" spans="2:10" s="102" customFormat="1">
      <c r="B38" s="142"/>
      <c r="C38" s="175"/>
      <c r="D38" s="175"/>
      <c r="E38" s="176"/>
      <c r="F38" s="190" t="s">
        <v>7</v>
      </c>
      <c r="G38" s="175"/>
      <c r="H38" s="177"/>
      <c r="J38" s="102" t="s">
        <v>1506</v>
      </c>
    </row>
    <row r="39" spans="2:10" s="102" customFormat="1">
      <c r="B39" s="157"/>
      <c r="C39" s="150" t="s">
        <v>1401</v>
      </c>
      <c r="D39" s="150" t="s">
        <v>1407</v>
      </c>
      <c r="E39" s="1" t="s">
        <v>1403</v>
      </c>
      <c r="F39"/>
      <c r="G39" s="1"/>
      <c r="H39" s="193"/>
      <c r="J39" s="102" t="s">
        <v>1502</v>
      </c>
    </row>
    <row r="40" spans="2:10">
      <c r="B40" s="157"/>
      <c r="C40" s="150" t="s">
        <v>1401</v>
      </c>
      <c r="D40" s="150" t="s">
        <v>1408</v>
      </c>
      <c r="E40" s="1" t="s">
        <v>1403</v>
      </c>
      <c r="H40" s="193"/>
    </row>
    <row r="41" spans="2:10">
      <c r="B41" s="157"/>
      <c r="C41" s="150" t="s">
        <v>1412</v>
      </c>
      <c r="D41" s="150" t="s">
        <v>1411</v>
      </c>
      <c r="E41" s="1" t="s">
        <v>1593</v>
      </c>
      <c r="H41" s="193"/>
    </row>
    <row r="42" spans="2:10">
      <c r="B42" s="157" t="s">
        <v>1592</v>
      </c>
      <c r="C42" s="150" t="s">
        <v>125</v>
      </c>
      <c r="D42" s="150" t="s">
        <v>1413</v>
      </c>
      <c r="E42" s="147">
        <v>1</v>
      </c>
      <c r="G42" s="150" t="s">
        <v>141</v>
      </c>
      <c r="H42" s="193"/>
      <c r="J42" s="102" t="s">
        <v>1507</v>
      </c>
    </row>
    <row r="43" spans="2:10">
      <c r="B43" s="157"/>
      <c r="C43" s="150"/>
      <c r="D43" s="150" t="s">
        <v>1414</v>
      </c>
      <c r="E43" s="147">
        <v>1</v>
      </c>
      <c r="G43" s="150"/>
      <c r="H43" s="193"/>
    </row>
    <row r="44" spans="2:10">
      <c r="B44" s="156" t="s">
        <v>1578</v>
      </c>
      <c r="C44" s="150" t="s">
        <v>1579</v>
      </c>
      <c r="D44" s="150" t="s">
        <v>1594</v>
      </c>
      <c r="E44" s="1" t="s">
        <v>200</v>
      </c>
      <c r="F44" s="207" t="s">
        <v>1690</v>
      </c>
      <c r="G44" s="150"/>
      <c r="H44" s="193"/>
    </row>
    <row r="45" spans="2:10">
      <c r="B45" s="156" t="s">
        <v>1681</v>
      </c>
      <c r="C45" s="150" t="s">
        <v>1424</v>
      </c>
      <c r="D45" s="150" t="s">
        <v>403</v>
      </c>
      <c r="E45" s="147">
        <v>1</v>
      </c>
      <c r="G45" s="150" t="s">
        <v>141</v>
      </c>
      <c r="H45" s="193"/>
    </row>
    <row r="46" spans="2:10">
      <c r="B46" s="156" t="s">
        <v>1520</v>
      </c>
      <c r="C46" s="150" t="s">
        <v>302</v>
      </c>
      <c r="D46" s="150" t="s">
        <v>1519</v>
      </c>
      <c r="E46" s="151">
        <v>1</v>
      </c>
      <c r="F46" s="150" t="s">
        <v>1518</v>
      </c>
      <c r="G46" s="150" t="s">
        <v>305</v>
      </c>
      <c r="H46" s="153"/>
      <c r="J46" s="102" t="s">
        <v>1566</v>
      </c>
    </row>
    <row r="47" spans="2:10">
      <c r="B47" s="192" t="s">
        <v>1415</v>
      </c>
      <c r="C47" s="150" t="s">
        <v>1591</v>
      </c>
      <c r="D47" s="150" t="s">
        <v>1427</v>
      </c>
      <c r="E47" s="150" t="s">
        <v>200</v>
      </c>
      <c r="F47" s="150" t="s">
        <v>1485</v>
      </c>
      <c r="G47" s="150" t="s">
        <v>141</v>
      </c>
      <c r="H47" s="193"/>
    </row>
    <row r="48" spans="2:10">
      <c r="B48" s="156" t="s">
        <v>1382</v>
      </c>
      <c r="C48" s="150" t="s">
        <v>1384</v>
      </c>
      <c r="D48" s="150" t="s">
        <v>1383</v>
      </c>
      <c r="E48" s="151" t="s">
        <v>200</v>
      </c>
      <c r="F48" s="150"/>
      <c r="G48" s="150"/>
      <c r="H48" s="153"/>
    </row>
    <row r="49" spans="2:11">
      <c r="B49" s="192" t="s">
        <v>1548</v>
      </c>
      <c r="C49" s="150" t="s">
        <v>1546</v>
      </c>
      <c r="D49" s="150" t="s">
        <v>1547</v>
      </c>
      <c r="E49" s="151">
        <v>1</v>
      </c>
      <c r="F49" s="150" t="s">
        <v>114</v>
      </c>
      <c r="G49" s="150"/>
      <c r="H49" s="153"/>
    </row>
    <row r="50" spans="2:11">
      <c r="B50" s="192" t="s">
        <v>1552</v>
      </c>
      <c r="C50" s="150" t="s">
        <v>1553</v>
      </c>
      <c r="D50" s="150" t="s">
        <v>1547</v>
      </c>
      <c r="E50" s="151" t="s">
        <v>1554</v>
      </c>
      <c r="F50" s="150" t="s">
        <v>1691</v>
      </c>
      <c r="G50" s="150"/>
      <c r="H50" s="153"/>
    </row>
    <row r="51" spans="2:11">
      <c r="B51" s="195" t="s">
        <v>1601</v>
      </c>
      <c r="C51" s="150" t="s">
        <v>1602</v>
      </c>
      <c r="D51" s="150"/>
      <c r="E51" s="151"/>
      <c r="F51" s="150"/>
      <c r="G51" s="150"/>
      <c r="H51" s="153"/>
      <c r="J51" s="38" t="s">
        <v>1678</v>
      </c>
    </row>
    <row r="52" spans="2:11">
      <c r="B52" s="156" t="s">
        <v>1493</v>
      </c>
      <c r="C52" s="150" t="s">
        <v>1494</v>
      </c>
      <c r="D52" s="150" t="s">
        <v>1496</v>
      </c>
      <c r="E52" s="151">
        <v>1</v>
      </c>
      <c r="F52" s="150" t="s">
        <v>136</v>
      </c>
      <c r="G52" s="150"/>
      <c r="H52" s="153"/>
      <c r="J52" s="154" t="s">
        <v>1569</v>
      </c>
    </row>
    <row r="53" spans="2:11">
      <c r="B53" s="156" t="s">
        <v>1492</v>
      </c>
      <c r="C53" s="150" t="s">
        <v>1494</v>
      </c>
      <c r="D53" s="150" t="s">
        <v>1495</v>
      </c>
      <c r="E53" s="151">
        <v>1</v>
      </c>
      <c r="F53" s="150" t="s">
        <v>136</v>
      </c>
      <c r="G53" s="150"/>
      <c r="H53" s="153"/>
      <c r="J53" s="102" t="s">
        <v>1679</v>
      </c>
    </row>
    <row r="54" spans="2:11">
      <c r="B54" s="156" t="s">
        <v>1688</v>
      </c>
      <c r="C54" s="150" t="s">
        <v>402</v>
      </c>
      <c r="D54" s="150" t="s">
        <v>1513</v>
      </c>
      <c r="E54" s="151" t="s">
        <v>1512</v>
      </c>
      <c r="F54" s="150" t="s">
        <v>1689</v>
      </c>
      <c r="G54" s="150"/>
      <c r="H54" s="153"/>
    </row>
    <row r="55" spans="2:11" s="118" customFormat="1">
      <c r="B55" s="156" t="s">
        <v>1589</v>
      </c>
      <c r="C55" s="150" t="s">
        <v>1590</v>
      </c>
      <c r="D55" s="150" t="s">
        <v>1585</v>
      </c>
      <c r="E55" s="151"/>
      <c r="F55" s="150" t="s">
        <v>1588</v>
      </c>
      <c r="G55" s="150"/>
      <c r="H55" s="153"/>
      <c r="J55" s="38" t="s">
        <v>1680</v>
      </c>
    </row>
    <row r="56" spans="2:11" s="118" customFormat="1">
      <c r="B56" s="192" t="s">
        <v>1503</v>
      </c>
      <c r="C56" s="150" t="s">
        <v>1504</v>
      </c>
      <c r="D56" s="150" t="s">
        <v>324</v>
      </c>
      <c r="E56" s="151" t="s">
        <v>1505</v>
      </c>
      <c r="F56" s="150" t="s">
        <v>136</v>
      </c>
      <c r="G56" s="150"/>
      <c r="H56" s="153"/>
    </row>
    <row r="57" spans="2:11" s="118" customFormat="1">
      <c r="B57" s="192" t="s">
        <v>480</v>
      </c>
      <c r="C57" s="150" t="s">
        <v>481</v>
      </c>
      <c r="D57" s="150" t="s">
        <v>324</v>
      </c>
      <c r="E57" s="151">
        <v>1</v>
      </c>
      <c r="F57" s="150" t="s">
        <v>114</v>
      </c>
      <c r="G57" s="150"/>
      <c r="H57" s="153"/>
    </row>
    <row r="58" spans="2:11" s="118" customFormat="1">
      <c r="B58" s="156" t="s">
        <v>1498</v>
      </c>
      <c r="C58" s="150" t="s">
        <v>1499</v>
      </c>
      <c r="D58" s="150" t="s">
        <v>1501</v>
      </c>
      <c r="E58" s="151" t="s">
        <v>1500</v>
      </c>
      <c r="F58" s="150" t="s">
        <v>136</v>
      </c>
      <c r="G58" s="150"/>
      <c r="H58" s="153"/>
    </row>
    <row r="59" spans="2:11" s="118" customFormat="1">
      <c r="B59" s="156" t="s">
        <v>1595</v>
      </c>
      <c r="C59" s="150" t="s">
        <v>1596</v>
      </c>
      <c r="D59" s="150"/>
      <c r="E59" s="151"/>
      <c r="F59" s="150" t="s">
        <v>123</v>
      </c>
      <c r="G59" s="150"/>
      <c r="H59" s="153"/>
    </row>
    <row r="60" spans="2:11" s="118" customFormat="1">
      <c r="B60" s="156" t="s">
        <v>1597</v>
      </c>
      <c r="C60" s="150" t="s">
        <v>402</v>
      </c>
      <c r="D60" s="150" t="s">
        <v>1598</v>
      </c>
      <c r="E60" s="151"/>
      <c r="F60" s="150"/>
      <c r="G60" s="150"/>
      <c r="H60" s="153"/>
    </row>
    <row r="61" spans="2:11" s="118" customFormat="1">
      <c r="B61" s="156"/>
      <c r="C61" s="150" t="s">
        <v>1510</v>
      </c>
      <c r="D61" s="150" t="s">
        <v>1509</v>
      </c>
      <c r="E61" s="151" t="s">
        <v>1508</v>
      </c>
      <c r="F61" s="150" t="s">
        <v>1511</v>
      </c>
      <c r="G61" s="150"/>
      <c r="H61" s="153"/>
    </row>
    <row r="62" spans="2:11" s="118" customFormat="1">
      <c r="B62" s="156"/>
      <c r="C62" s="150" t="s">
        <v>1517</v>
      </c>
      <c r="D62" s="150" t="s">
        <v>324</v>
      </c>
      <c r="E62" s="151" t="s">
        <v>1403</v>
      </c>
      <c r="F62" s="150" t="s">
        <v>1511</v>
      </c>
      <c r="G62" s="150"/>
      <c r="H62" s="153"/>
    </row>
    <row r="63" spans="2:11" s="168" customFormat="1">
      <c r="B63" s="162" t="s">
        <v>511</v>
      </c>
      <c r="C63" s="163" t="s">
        <v>302</v>
      </c>
      <c r="D63" s="163" t="s">
        <v>512</v>
      </c>
      <c r="E63" s="164">
        <v>1</v>
      </c>
      <c r="F63" s="163" t="s">
        <v>123</v>
      </c>
      <c r="G63" s="170"/>
      <c r="H63" s="171"/>
      <c r="I63" s="102"/>
      <c r="J63" s="102"/>
      <c r="K63" s="102"/>
    </row>
    <row r="64" spans="2:11" s="168" customFormat="1">
      <c r="B64" s="102"/>
      <c r="C64" s="150"/>
      <c r="D64" s="150"/>
      <c r="E64" s="151"/>
      <c r="F64" s="150"/>
      <c r="G64" s="150"/>
      <c r="H64" s="1"/>
      <c r="I64" s="102"/>
      <c r="J64" s="102"/>
      <c r="K64" s="102"/>
    </row>
    <row r="65" spans="2:11" s="168" customFormat="1">
      <c r="B65" s="118"/>
      <c r="C65" s="159"/>
      <c r="D65" s="159"/>
      <c r="E65" s="159"/>
      <c r="F65" s="159" t="s">
        <v>513</v>
      </c>
      <c r="G65" s="172"/>
      <c r="H65" s="159"/>
      <c r="I65" s="102"/>
      <c r="J65" s="102"/>
      <c r="K65" s="102"/>
    </row>
    <row r="66" spans="2:11" s="168" customFormat="1">
      <c r="C66" s="159"/>
      <c r="D66" s="159"/>
      <c r="E66" s="159"/>
      <c r="F66" t="s">
        <v>515</v>
      </c>
      <c r="G66" s="172"/>
      <c r="H66" s="159"/>
      <c r="I66" s="102"/>
      <c r="J66" s="102"/>
      <c r="K66" s="102"/>
    </row>
    <row r="67" spans="2:11" s="168" customFormat="1">
      <c r="B67" s="102"/>
      <c r="C67" s="127"/>
      <c r="D67" s="127"/>
      <c r="E67"/>
      <c r="F67" t="s">
        <v>516</v>
      </c>
      <c r="G67" s="1"/>
      <c r="H67"/>
      <c r="I67" s="102"/>
      <c r="J67" s="102"/>
      <c r="K67" s="102"/>
    </row>
    <row r="68" spans="2:11" s="168" customFormat="1">
      <c r="B68" s="102"/>
      <c r="C68" s="127"/>
      <c r="D68" s="127"/>
      <c r="E68"/>
      <c r="F68" t="s">
        <v>517</v>
      </c>
      <c r="G68" s="1"/>
      <c r="H68"/>
      <c r="I68" s="102"/>
      <c r="J68" s="102"/>
      <c r="K68" s="102"/>
    </row>
    <row r="69" spans="2:11" s="168" customFormat="1">
      <c r="B69" s="102"/>
      <c r="C69" s="173"/>
      <c r="D69" s="173"/>
      <c r="E69" s="118"/>
      <c r="F69" s="159" t="s">
        <v>518</v>
      </c>
      <c r="G69" s="174"/>
      <c r="H69" s="118"/>
      <c r="I69" s="102"/>
      <c r="J69" s="102"/>
      <c r="K69" s="102"/>
    </row>
    <row r="70" spans="2:11" s="168" customFormat="1">
      <c r="B70" s="118"/>
      <c r="C70" s="127"/>
      <c r="D70" s="127"/>
      <c r="E70"/>
      <c r="F70" s="159" t="s">
        <v>519</v>
      </c>
      <c r="G70" s="1"/>
      <c r="H70"/>
    </row>
    <row r="71" spans="2:11" s="168" customFormat="1">
      <c r="B71" s="118"/>
      <c r="C71" s="173"/>
      <c r="D71" s="173"/>
      <c r="E71" s="118"/>
      <c r="F71" s="159" t="s">
        <v>520</v>
      </c>
      <c r="G71" s="174"/>
      <c r="H71" s="118"/>
    </row>
    <row r="72" spans="2:11" s="168" customFormat="1">
      <c r="B72" s="102"/>
      <c r="C72" s="173"/>
      <c r="D72" s="173"/>
      <c r="E72" s="118"/>
      <c r="F72" s="159" t="s">
        <v>521</v>
      </c>
      <c r="G72" s="174"/>
      <c r="H72" s="118"/>
    </row>
    <row r="73" spans="2:11" s="168" customFormat="1">
      <c r="B73"/>
      <c r="C73"/>
      <c r="D73"/>
      <c r="E73"/>
      <c r="F73" s="102" t="s">
        <v>522</v>
      </c>
      <c r="G73" s="1"/>
      <c r="H73"/>
    </row>
    <row r="74" spans="2:11" s="159" customFormat="1" ht="12.75" customHeight="1">
      <c r="B74"/>
      <c r="C74"/>
      <c r="D74"/>
      <c r="E74"/>
      <c r="F74" s="102" t="s">
        <v>523</v>
      </c>
      <c r="G74" s="1"/>
      <c r="H74"/>
    </row>
    <row r="75" spans="2:11" s="159" customFormat="1" ht="12.75" customHeight="1">
      <c r="B75"/>
      <c r="C75"/>
      <c r="D75"/>
      <c r="E75"/>
      <c r="F75" s="102" t="s">
        <v>524</v>
      </c>
      <c r="G75" s="1"/>
      <c r="H75"/>
    </row>
    <row r="76" spans="2:11">
      <c r="F76" s="102" t="s">
        <v>525</v>
      </c>
    </row>
    <row r="77" spans="2:11">
      <c r="F77" t="s">
        <v>526</v>
      </c>
    </row>
    <row r="78" spans="2:11">
      <c r="F78" s="102" t="s">
        <v>527</v>
      </c>
    </row>
    <row r="79" spans="2:11">
      <c r="F79" s="102" t="s">
        <v>528</v>
      </c>
    </row>
    <row r="80" spans="2:11" s="118" customFormat="1">
      <c r="B80"/>
      <c r="C80"/>
      <c r="D80"/>
      <c r="E80"/>
      <c r="F80" s="102" t="s">
        <v>514</v>
      </c>
      <c r="G80" s="1"/>
      <c r="H80"/>
    </row>
    <row r="81" spans="2:8">
      <c r="F81" s="102" t="s">
        <v>1625</v>
      </c>
    </row>
    <row r="82" spans="2:8" s="118" customFormat="1">
      <c r="B82"/>
      <c r="C82"/>
      <c r="D82"/>
      <c r="E82"/>
      <c r="F82" s="102" t="s">
        <v>1514</v>
      </c>
      <c r="G82" s="1"/>
      <c r="H82"/>
    </row>
    <row r="83" spans="2:8" s="118" customFormat="1">
      <c r="B83"/>
      <c r="C83"/>
      <c r="D83"/>
      <c r="E83"/>
      <c r="F83"/>
      <c r="G83" s="1"/>
      <c r="H83"/>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35" location="elranatamab!A1" display="elranatamab" xr:uid="{22EE3204-C875-4DB6-B821-72920E15C43A}"/>
    <hyperlink ref="B47"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7" location="'PF-06425090'!A1" display="PF-06425090" xr:uid="{88A0F8A3-A134-49FD-BA70-FF29733EDF87}"/>
    <hyperlink ref="B56" location="'VLA15'!A1" display="VLA15" xr:uid="{95C71F0C-E345-410F-9E77-4351DEAA1DAD}"/>
    <hyperlink ref="B50" location="giroctocogene!A1" display="giroctocogene fitelparvovec" xr:uid="{7B08DDA2-F5FF-4EF5-9DC5-68304C03C9EE}"/>
    <hyperlink ref="B49"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C216"/>
  <sheetViews>
    <sheetView showOutlineSymbols="0" zoomScale="145" zoomScaleNormal="145" workbookViewId="0">
      <pane xSplit="2" ySplit="2" topLeftCell="DH148" activePane="bottomRight" state="frozen"/>
      <selection activeCell="CV111" sqref="CV111"/>
      <selection pane="topRight" activeCell="CV111" sqref="CV111"/>
      <selection pane="bottomLeft" activeCell="CV111" sqref="CV111"/>
      <selection pane="bottomRight" activeCell="DJ173" sqref="DJ173"/>
    </sheetView>
  </sheetViews>
  <sheetFormatPr defaultColWidth="9.140625" defaultRowHeight="12.75"/>
  <cols>
    <col min="1" max="1" width="5" style="4" bestFit="1" customWidth="1"/>
    <col min="2" max="2" width="32.140625" style="4" bestFit="1" customWidth="1"/>
    <col min="3" max="13" width="5.42578125" style="37" bestFit="1" customWidth="1"/>
    <col min="14" max="22" width="5.5703125" style="37"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70" width="7.140625" style="37" customWidth="1"/>
    <col min="71" max="71" width="7.140625" style="113" customWidth="1"/>
    <col min="72" max="74" width="7.140625" style="37" customWidth="1"/>
    <col min="75" max="75" width="7.140625" style="113" customWidth="1"/>
    <col min="76" max="76" width="7.140625" style="37" customWidth="1"/>
    <col min="77" max="77" width="7.140625" style="113" customWidth="1"/>
    <col min="78" max="91" width="7.140625" style="37" customWidth="1"/>
    <col min="92" max="102" width="7.140625" style="113" customWidth="1"/>
    <col min="103" max="119" width="7.85546875" style="113" customWidth="1"/>
    <col min="120" max="121" width="7.140625" style="37" customWidth="1"/>
    <col min="122" max="122" width="9.140625" style="4"/>
    <col min="123" max="124" width="7.85546875" style="4" customWidth="1"/>
    <col min="125" max="140" width="7.85546875" style="37" customWidth="1"/>
    <col min="141" max="142" width="7.85546875" style="44" customWidth="1"/>
    <col min="143" max="146" width="7.7109375" style="44" bestFit="1" customWidth="1"/>
    <col min="147" max="155" width="8" style="44" customWidth="1"/>
    <col min="156" max="172" width="7.85546875" style="44" customWidth="1"/>
    <col min="173" max="173" width="8.42578125" style="81" bestFit="1" customWidth="1"/>
    <col min="174" max="174" width="11.1406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1604</v>
      </c>
      <c r="DH2" s="135" t="s">
        <v>1605</v>
      </c>
      <c r="DI2" s="135" t="s">
        <v>1606</v>
      </c>
      <c r="DJ2" s="135" t="s">
        <v>1607</v>
      </c>
      <c r="DK2" s="135" t="s">
        <v>1608</v>
      </c>
      <c r="DL2" s="135" t="s">
        <v>1609</v>
      </c>
      <c r="DM2" s="135" t="s">
        <v>1610</v>
      </c>
      <c r="DN2" s="135" t="s">
        <v>1611</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v>3383</v>
      </c>
      <c r="DK3" s="122">
        <f>+DG3*0.5</f>
        <v>177</v>
      </c>
      <c r="DL3" s="122">
        <f>+DH3*0.5</f>
        <v>97.5</v>
      </c>
      <c r="DM3" s="122">
        <f>+DI3*0.5</f>
        <v>711</v>
      </c>
      <c r="DN3" s="122">
        <f>+DJ3*0.5</f>
        <v>1691.5</v>
      </c>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SUM(DG3:DJ3)</f>
        <v>5354</v>
      </c>
      <c r="FA3" s="44">
        <f>SUM(DK3:DN3)</f>
        <v>2677</v>
      </c>
      <c r="FB3" s="44">
        <f t="shared" ref="FB3:FF3" si="1">+FA3*0.5</f>
        <v>1338.5</v>
      </c>
      <c r="FC3" s="44">
        <f t="shared" si="1"/>
        <v>669.25</v>
      </c>
      <c r="FD3" s="44">
        <f t="shared" si="1"/>
        <v>334.625</v>
      </c>
      <c r="FE3" s="44">
        <f t="shared" si="1"/>
        <v>167.3125</v>
      </c>
      <c r="FF3" s="44">
        <f t="shared" si="1"/>
        <v>83.65625</v>
      </c>
      <c r="FG3" s="44">
        <f t="shared" ref="FG3:FK3" si="2">+FF3*0.2</f>
        <v>16.731249999999999</v>
      </c>
      <c r="FH3" s="44">
        <f t="shared" si="2"/>
        <v>3.3462499999999999</v>
      </c>
      <c r="FI3" s="44">
        <f t="shared" si="2"/>
        <v>0.66925000000000001</v>
      </c>
      <c r="FJ3" s="44">
        <f t="shared" si="2"/>
        <v>0.13385</v>
      </c>
      <c r="FK3" s="44">
        <f t="shared" si="2"/>
        <v>2.6770000000000002E-2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v>1832</v>
      </c>
      <c r="DK4" s="122">
        <f>+DG4*1.1</f>
        <v>2244</v>
      </c>
      <c r="DL4" s="122">
        <f>+DH4*1.1</f>
        <v>2064.7000000000003</v>
      </c>
      <c r="DM4" s="122">
        <f>+DI4*1.1</f>
        <v>1778.7</v>
      </c>
      <c r="DN4" s="122">
        <f>+DJ4*1.1</f>
        <v>2015.2000000000003</v>
      </c>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80" si="3">SUM(CQ4:CT4)</f>
        <v>4948</v>
      </c>
      <c r="EW4" s="44">
        <f t="shared" ref="EW4:EW81" si="4">SUM(CU4:CX4)</f>
        <v>5970</v>
      </c>
      <c r="EX4" s="44">
        <f t="shared" ref="EX4:EX41" si="5">SUM(CY4:DB4)</f>
        <v>6481</v>
      </c>
      <c r="EY4" s="44">
        <f t="shared" ref="EY4:EY80" si="6">SUM(DC4:DF4)</f>
        <v>6746</v>
      </c>
      <c r="EZ4" s="44">
        <f t="shared" ref="EZ4:EZ67" si="7">SUM(DG4:DJ4)</f>
        <v>7366</v>
      </c>
      <c r="FA4" s="44">
        <f t="shared" ref="FA4:FA67" si="8">SUM(DK4:DN4)</f>
        <v>8102.6</v>
      </c>
      <c r="FB4" s="68">
        <f t="shared" ref="FA4:FD4" si="9">+FA4*1.01</f>
        <v>8183.6260000000002</v>
      </c>
      <c r="FC4" s="68">
        <f t="shared" si="9"/>
        <v>8265.4622600000002</v>
      </c>
      <c r="FD4" s="68">
        <f t="shared" si="9"/>
        <v>8348.1168826000012</v>
      </c>
      <c r="FE4" s="68">
        <f>+FD4*0.1</f>
        <v>834.81168826000021</v>
      </c>
      <c r="FF4" s="68">
        <f t="shared" ref="FF4:FK4" si="10">+FE4*0.1</f>
        <v>83.48116882600003</v>
      </c>
      <c r="FG4" s="68">
        <f t="shared" si="10"/>
        <v>8.348116882600003</v>
      </c>
      <c r="FH4" s="68">
        <f t="shared" si="10"/>
        <v>0.8348116882600003</v>
      </c>
      <c r="FI4" s="68">
        <f t="shared" si="10"/>
        <v>8.3481168826000041E-2</v>
      </c>
      <c r="FJ4" s="68">
        <f t="shared" si="10"/>
        <v>8.3481168826000044E-3</v>
      </c>
      <c r="FK4" s="68">
        <f t="shared" si="10"/>
        <v>8.3481168826000051E-4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v>1558</v>
      </c>
      <c r="DK5" s="122">
        <f>+DG5*0.95</f>
        <v>1606.4499999999998</v>
      </c>
      <c r="DL5" s="122">
        <f>+DH5*0.95</f>
        <v>1291.05</v>
      </c>
      <c r="DM5" s="122">
        <f>+DI5*0.95</f>
        <v>1712.85</v>
      </c>
      <c r="DN5" s="122">
        <f>+DJ5*0.95</f>
        <v>1480.1</v>
      </c>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11">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44">
        <f t="shared" si="7"/>
        <v>6411</v>
      </c>
      <c r="FA5" s="44">
        <f t="shared" si="8"/>
        <v>6090.4500000000007</v>
      </c>
      <c r="FB5" s="68">
        <f t="shared" ref="FA5:FK5" si="12">+FA5*1.01</f>
        <v>6151.3545000000004</v>
      </c>
      <c r="FC5" s="68">
        <f t="shared" si="12"/>
        <v>6212.8680450000002</v>
      </c>
      <c r="FD5" s="68">
        <f t="shared" si="12"/>
        <v>6274.9967254500007</v>
      </c>
      <c r="FE5" s="68">
        <f t="shared" si="12"/>
        <v>6337.7466927045007</v>
      </c>
      <c r="FF5" s="68">
        <f t="shared" si="12"/>
        <v>6401.1241596315458</v>
      </c>
      <c r="FG5" s="68">
        <f t="shared" si="12"/>
        <v>6465.1354012278616</v>
      </c>
      <c r="FH5" s="68">
        <f t="shared" si="12"/>
        <v>6529.7867552401403</v>
      </c>
      <c r="FI5" s="68">
        <f t="shared" si="12"/>
        <v>6595.0846227925422</v>
      </c>
      <c r="FJ5" s="68">
        <f t="shared" si="12"/>
        <v>6661.0354690204676</v>
      </c>
      <c r="FK5" s="68">
        <f t="shared" si="12"/>
        <v>6727.6458237106726</v>
      </c>
      <c r="FL5" s="68"/>
      <c r="FM5" s="68"/>
      <c r="FN5" s="68"/>
      <c r="FO5" s="68"/>
      <c r="FP5" s="68"/>
      <c r="FQ5" s="83">
        <f>EL5*0.7</f>
        <v>2568.2999999999997</v>
      </c>
      <c r="FR5" s="68">
        <f>EQ5*0.7</f>
        <v>4372.8999999999996</v>
      </c>
      <c r="FS5" s="84">
        <f>EV5*0.7</f>
        <v>4094.9999999999995</v>
      </c>
      <c r="FT5" s="68"/>
      <c r="FU5" s="111"/>
    </row>
    <row r="6" spans="1:177" s="23" customFormat="1">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v>727</v>
      </c>
      <c r="DK6" s="122">
        <f>+DG6*0.5</f>
        <v>1017.5</v>
      </c>
      <c r="DL6" s="122">
        <f>+DH6*0.5</f>
        <v>125.5</v>
      </c>
      <c r="DM6" s="122">
        <f>+DI6*0.5</f>
        <v>1351.5</v>
      </c>
      <c r="DN6" s="122">
        <f>+DJ6*0.5</f>
        <v>363.5</v>
      </c>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44">
        <f t="shared" si="7"/>
        <v>5716</v>
      </c>
      <c r="FA6" s="44">
        <f t="shared" si="8"/>
        <v>2858</v>
      </c>
      <c r="FB6" s="68">
        <f t="shared" ref="FA6:FF6" si="13">+FA6*0.5</f>
        <v>1429</v>
      </c>
      <c r="FC6" s="68">
        <f t="shared" si="13"/>
        <v>714.5</v>
      </c>
      <c r="FD6" s="68">
        <f t="shared" si="13"/>
        <v>357.25</v>
      </c>
      <c r="FE6" s="68">
        <f t="shared" si="13"/>
        <v>178.625</v>
      </c>
      <c r="FF6" s="68">
        <f t="shared" si="13"/>
        <v>89.3125</v>
      </c>
      <c r="FG6" s="68">
        <f t="shared" ref="FG6:FK6" si="14">+FF6*0.1</f>
        <v>8.9312500000000004</v>
      </c>
      <c r="FH6" s="68">
        <f t="shared" si="14"/>
        <v>0.89312500000000006</v>
      </c>
      <c r="FI6" s="68">
        <f t="shared" si="14"/>
        <v>8.9312500000000017E-2</v>
      </c>
      <c r="FJ6" s="68">
        <f t="shared" si="14"/>
        <v>8.9312500000000017E-3</v>
      </c>
      <c r="FK6" s="68">
        <f t="shared" si="14"/>
        <v>8.9312500000000026E-4</v>
      </c>
      <c r="FL6" s="68"/>
      <c r="FM6" s="68"/>
      <c r="FN6" s="68"/>
      <c r="FO6" s="68"/>
      <c r="FP6" s="68"/>
      <c r="FQ6" s="83"/>
      <c r="FR6" s="68"/>
      <c r="FS6" s="84"/>
      <c r="FT6" s="68"/>
      <c r="FU6" s="111"/>
    </row>
    <row r="7" spans="1:177" s="23" customFormat="1">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v>1095</v>
      </c>
      <c r="DK7" s="122">
        <f>+DG7*0.98</f>
        <v>1032.92</v>
      </c>
      <c r="DL7" s="122">
        <f>+DH7*0.98</f>
        <v>1107.4000000000001</v>
      </c>
      <c r="DM7" s="122">
        <f>+DI7*0.98</f>
        <v>1065.26</v>
      </c>
      <c r="DN7" s="122">
        <f>+DJ7*0.98</f>
        <v>1073.0999999999999</v>
      </c>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11"/>
        <v>0</v>
      </c>
      <c r="EQ7" s="68">
        <f>SUM(BW7:BZ7)</f>
        <v>723</v>
      </c>
      <c r="ER7" s="68">
        <f>SUM(CA7:CD7)</f>
        <v>2136</v>
      </c>
      <c r="ES7" s="68">
        <f>SUM(CE7:CH7)</f>
        <v>3126</v>
      </c>
      <c r="ET7" s="68">
        <f>SUM(CI7:CL7)</f>
        <v>4118</v>
      </c>
      <c r="EU7" s="44">
        <f t="shared" ref="EU7:EU86" si="15">SUM(CM7:CP7)</f>
        <v>4960</v>
      </c>
      <c r="EV7" s="44">
        <f t="shared" si="3"/>
        <v>5390</v>
      </c>
      <c r="EW7" s="44">
        <f t="shared" si="4"/>
        <v>5437</v>
      </c>
      <c r="EX7" s="44">
        <f t="shared" si="5"/>
        <v>5119</v>
      </c>
      <c r="EY7" s="44">
        <f t="shared" si="6"/>
        <v>4753</v>
      </c>
      <c r="EZ7" s="44">
        <f t="shared" si="7"/>
        <v>4366</v>
      </c>
      <c r="FA7" s="44">
        <f t="shared" si="8"/>
        <v>4278.68</v>
      </c>
      <c r="FB7" s="68">
        <f t="shared" ref="FA7:FK7" si="16">+FA7*0.8</f>
        <v>3422.9440000000004</v>
      </c>
      <c r="FC7" s="68">
        <f t="shared" si="16"/>
        <v>2738.3552000000004</v>
      </c>
      <c r="FD7" s="68">
        <f t="shared" si="16"/>
        <v>2190.6841600000002</v>
      </c>
      <c r="FE7" s="68">
        <f t="shared" si="16"/>
        <v>1752.5473280000003</v>
      </c>
      <c r="FF7" s="68">
        <f t="shared" si="16"/>
        <v>1402.0378624000004</v>
      </c>
      <c r="FG7" s="68">
        <f t="shared" si="16"/>
        <v>1121.6302899200005</v>
      </c>
      <c r="FH7" s="68">
        <f t="shared" si="16"/>
        <v>897.30423193600041</v>
      </c>
      <c r="FI7" s="68">
        <f t="shared" si="16"/>
        <v>717.84338554880037</v>
      </c>
      <c r="FJ7" s="68">
        <f t="shared" si="16"/>
        <v>574.2747084390403</v>
      </c>
      <c r="FK7" s="68">
        <f t="shared" si="16"/>
        <v>459.41976675123226</v>
      </c>
      <c r="FL7" s="68"/>
      <c r="FM7" s="68"/>
      <c r="FN7" s="68"/>
      <c r="FO7" s="68"/>
      <c r="FP7" s="68"/>
      <c r="FQ7" s="83"/>
      <c r="FR7" s="68"/>
      <c r="FS7" s="84"/>
      <c r="FT7" s="68"/>
      <c r="FU7" s="111"/>
    </row>
    <row r="8" spans="1:177" s="23" customFormat="1">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v>1545</v>
      </c>
      <c r="DK8" s="122">
        <f>+DG8*1.2</f>
        <v>1364.3999999999999</v>
      </c>
      <c r="DL8" s="122">
        <f>+DH8*1.15</f>
        <v>1521.4499999999998</v>
      </c>
      <c r="DM8" s="122">
        <f>+DI8*1.1</f>
        <v>1591.7</v>
      </c>
      <c r="DN8" s="122">
        <f>+DJ8*1.1</f>
        <v>1699.5000000000002</v>
      </c>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5"/>
        <v>473</v>
      </c>
      <c r="EV8" s="44">
        <f t="shared" si="3"/>
        <v>1288</v>
      </c>
      <c r="EW8" s="44">
        <f t="shared" si="4"/>
        <v>2016</v>
      </c>
      <c r="EX8" s="44">
        <f t="shared" si="5"/>
        <v>2446</v>
      </c>
      <c r="EY8" s="44">
        <f t="shared" si="6"/>
        <v>3321</v>
      </c>
      <c r="EZ8" s="44">
        <f t="shared" si="7"/>
        <v>5452</v>
      </c>
      <c r="FA8" s="44">
        <f t="shared" si="8"/>
        <v>6177.0499999999993</v>
      </c>
      <c r="FB8" s="68">
        <f t="shared" ref="FA8:FB8" si="17">+FA8*1.03</f>
        <v>6362.3614999999991</v>
      </c>
      <c r="FC8" s="68">
        <f>+FB8*0.8</f>
        <v>5089.8891999999996</v>
      </c>
      <c r="FD8" s="68">
        <f t="shared" ref="FD8:FK8" si="18">+FC8*0.8</f>
        <v>4071.9113600000001</v>
      </c>
      <c r="FE8" s="68">
        <f t="shared" si="18"/>
        <v>3257.5290880000002</v>
      </c>
      <c r="FF8" s="68">
        <f t="shared" si="18"/>
        <v>2606.0232704000005</v>
      </c>
      <c r="FG8" s="68">
        <f t="shared" si="18"/>
        <v>2084.8186163200003</v>
      </c>
      <c r="FH8" s="68">
        <f t="shared" si="18"/>
        <v>1667.8548930560003</v>
      </c>
      <c r="FI8" s="68">
        <f t="shared" si="18"/>
        <v>1334.2839144448003</v>
      </c>
      <c r="FJ8" s="68">
        <f t="shared" si="18"/>
        <v>1067.4271315558403</v>
      </c>
      <c r="FK8" s="68">
        <f t="shared" si="18"/>
        <v>853.94170524467233</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v>349</v>
      </c>
      <c r="DK9" s="122">
        <f>+DG9*0.8</f>
        <v>155.20000000000002</v>
      </c>
      <c r="DL9" s="122">
        <f>+DH9*0.8</f>
        <v>242.4</v>
      </c>
      <c r="DM9" s="122">
        <f>+DI9*0.8</f>
        <v>256.8</v>
      </c>
      <c r="DN9" s="122">
        <f>+DJ9*0.8</f>
        <v>279.2</v>
      </c>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5"/>
        <v>2242</v>
      </c>
      <c r="EV9" s="44">
        <f t="shared" si="3"/>
        <v>2436</v>
      </c>
      <c r="EW9" s="44">
        <f t="shared" si="4"/>
        <v>2455</v>
      </c>
      <c r="EX9" s="44">
        <f t="shared" si="5"/>
        <v>1797</v>
      </c>
      <c r="EY9" s="44">
        <f t="shared" si="6"/>
        <v>1702</v>
      </c>
      <c r="EZ9" s="44">
        <f t="shared" si="7"/>
        <v>1167</v>
      </c>
      <c r="FA9" s="44">
        <f t="shared" si="8"/>
        <v>933.60000000000014</v>
      </c>
      <c r="FB9" s="68">
        <f t="shared" ref="FA9:FK9" si="19">+FA9*0.8</f>
        <v>746.88000000000011</v>
      </c>
      <c r="FC9" s="68">
        <f t="shared" si="19"/>
        <v>597.50400000000013</v>
      </c>
      <c r="FD9" s="68">
        <f t="shared" si="19"/>
        <v>478.00320000000011</v>
      </c>
      <c r="FE9" s="68">
        <f t="shared" si="19"/>
        <v>382.40256000000011</v>
      </c>
      <c r="FF9" s="68">
        <f t="shared" si="19"/>
        <v>305.92204800000007</v>
      </c>
      <c r="FG9" s="68">
        <f t="shared" si="19"/>
        <v>244.73763840000007</v>
      </c>
      <c r="FH9" s="68">
        <f t="shared" si="19"/>
        <v>195.79011072000006</v>
      </c>
      <c r="FI9" s="68">
        <f t="shared" si="19"/>
        <v>156.63208857600006</v>
      </c>
      <c r="FJ9" s="68">
        <f t="shared" si="19"/>
        <v>125.30567086080005</v>
      </c>
      <c r="FK9" s="68">
        <f t="shared" si="19"/>
        <v>100.24453668864004</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v>183</v>
      </c>
      <c r="DK10" s="122">
        <f t="shared" ref="DK10:DN10" si="20">+DG10*0.8</f>
        <v>127.2</v>
      </c>
      <c r="DL10" s="122">
        <f t="shared" si="20"/>
        <v>143.20000000000002</v>
      </c>
      <c r="DM10" s="122">
        <f t="shared" si="20"/>
        <v>135.20000000000002</v>
      </c>
      <c r="DN10" s="122">
        <f t="shared" si="20"/>
        <v>146.4</v>
      </c>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21">EP10*0.98</f>
        <v>3773</v>
      </c>
      <c r="ER10" s="68"/>
      <c r="ES10" s="68"/>
      <c r="ET10" s="68"/>
      <c r="EU10" s="44">
        <f t="shared" si="15"/>
        <v>1700</v>
      </c>
      <c r="EV10" s="44">
        <f t="shared" si="3"/>
        <v>1350</v>
      </c>
      <c r="EW10" s="44">
        <f t="shared" si="4"/>
        <v>1185</v>
      </c>
      <c r="EX10" s="44">
        <f t="shared" si="5"/>
        <v>1003</v>
      </c>
      <c r="EY10" s="44">
        <f t="shared" si="6"/>
        <v>829</v>
      </c>
      <c r="EZ10" s="44">
        <f t="shared" si="7"/>
        <v>690</v>
      </c>
      <c r="FA10" s="44">
        <f t="shared" si="8"/>
        <v>552</v>
      </c>
      <c r="FB10" s="68">
        <f t="shared" ref="FA10:FK10" si="22">+FA10*0.9</f>
        <v>496.8</v>
      </c>
      <c r="FC10" s="68">
        <f t="shared" si="22"/>
        <v>447.12</v>
      </c>
      <c r="FD10" s="68">
        <f t="shared" si="22"/>
        <v>402.40800000000002</v>
      </c>
      <c r="FE10" s="68">
        <f t="shared" si="22"/>
        <v>362.16720000000004</v>
      </c>
      <c r="FF10" s="68">
        <f t="shared" si="22"/>
        <v>325.95048000000003</v>
      </c>
      <c r="FG10" s="68">
        <f t="shared" si="22"/>
        <v>293.35543200000001</v>
      </c>
      <c r="FH10" s="68">
        <f t="shared" si="22"/>
        <v>264.01988879999999</v>
      </c>
      <c r="FI10" s="68">
        <f t="shared" si="22"/>
        <v>237.61789991999999</v>
      </c>
      <c r="FJ10" s="68">
        <f t="shared" si="22"/>
        <v>213.856109928</v>
      </c>
      <c r="FK10" s="68">
        <f t="shared" si="22"/>
        <v>192.4704989352</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v>565</v>
      </c>
      <c r="DK11" s="115">
        <f>+DG11*1.2</f>
        <v>501.59999999999997</v>
      </c>
      <c r="DL11" s="115">
        <f>+DH11*1.2</f>
        <v>594</v>
      </c>
      <c r="DM11" s="115">
        <f>+DI11*1.2</f>
        <v>673.19999999999993</v>
      </c>
      <c r="DN11" s="115">
        <f>+DJ11*1.2</f>
        <v>678</v>
      </c>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5"/>
        <v>838</v>
      </c>
      <c r="EV11" s="44">
        <f t="shared" si="3"/>
        <v>1024</v>
      </c>
      <c r="EW11" s="44">
        <f t="shared" si="4"/>
        <v>1185</v>
      </c>
      <c r="EX11" s="44">
        <f t="shared" si="5"/>
        <v>1198</v>
      </c>
      <c r="EY11" s="44">
        <f t="shared" si="6"/>
        <v>1271</v>
      </c>
      <c r="EZ11" s="44">
        <f t="shared" si="7"/>
        <v>2039</v>
      </c>
      <c r="FA11" s="44">
        <f t="shared" si="8"/>
        <v>2446.7999999999997</v>
      </c>
      <c r="FB11" s="44">
        <f t="shared" ref="FA11:FK11" si="23">+FA11*0.9</f>
        <v>2202.12</v>
      </c>
      <c r="FC11" s="44">
        <f t="shared" si="23"/>
        <v>1981.9079999999999</v>
      </c>
      <c r="FD11" s="44">
        <f t="shared" si="23"/>
        <v>1783.7172</v>
      </c>
      <c r="FE11" s="44">
        <f t="shared" si="23"/>
        <v>1605.3454800000002</v>
      </c>
      <c r="FF11" s="44">
        <f t="shared" si="23"/>
        <v>1444.8109320000001</v>
      </c>
      <c r="FG11" s="44">
        <f t="shared" si="23"/>
        <v>1300.3298388000001</v>
      </c>
      <c r="FH11" s="44">
        <f t="shared" si="23"/>
        <v>1170.29685492</v>
      </c>
      <c r="FI11" s="44">
        <f t="shared" si="23"/>
        <v>1053.267169428</v>
      </c>
      <c r="FJ11" s="44">
        <f t="shared" si="23"/>
        <v>947.94045248520001</v>
      </c>
      <c r="FK11" s="44">
        <f t="shared" si="23"/>
        <v>853.14640723668003</v>
      </c>
      <c r="FQ11" s="44"/>
    </row>
    <row r="12" spans="1:177">
      <c r="B12" s="14" t="s">
        <v>1612</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v>444</v>
      </c>
      <c r="DK12" s="115">
        <f>+DG12*1.2</f>
        <v>409.2</v>
      </c>
      <c r="DL12" s="115">
        <f>+DH12*1.2</f>
        <v>472.79999999999995</v>
      </c>
      <c r="DM12" s="115">
        <f>+DI12*1.2</f>
        <v>490.79999999999995</v>
      </c>
      <c r="DN12" s="115">
        <f>+DJ12*1.2</f>
        <v>532.79999999999995</v>
      </c>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EZ12" s="44">
        <f t="shared" si="7"/>
        <v>1588</v>
      </c>
      <c r="FA12" s="44">
        <f t="shared" si="8"/>
        <v>1905.6</v>
      </c>
      <c r="FB12" s="44">
        <f>+FA12*1.01</f>
        <v>1924.6559999999999</v>
      </c>
      <c r="FC12" s="44">
        <f t="shared" ref="FC12:FK12" si="24">+FB12*1.01</f>
        <v>1943.90256</v>
      </c>
      <c r="FD12" s="44">
        <f t="shared" si="24"/>
        <v>1963.3415855999999</v>
      </c>
      <c r="FE12" s="44">
        <f t="shared" si="24"/>
        <v>1982.975001456</v>
      </c>
      <c r="FF12" s="44">
        <f t="shared" si="24"/>
        <v>2002.8047514705599</v>
      </c>
      <c r="FG12" s="44">
        <f t="shared" si="24"/>
        <v>2022.8327989852655</v>
      </c>
      <c r="FH12" s="44">
        <f t="shared" si="24"/>
        <v>2043.0611269751182</v>
      </c>
      <c r="FI12" s="44">
        <f t="shared" si="24"/>
        <v>2063.4917382448693</v>
      </c>
      <c r="FJ12" s="44">
        <f t="shared" si="24"/>
        <v>2084.1266556273181</v>
      </c>
      <c r="FK12" s="44">
        <f t="shared" si="24"/>
        <v>2104.9679221835913</v>
      </c>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v>242</v>
      </c>
      <c r="DK13" s="115">
        <f>+DG13*0.9</f>
        <v>213.3</v>
      </c>
      <c r="DL13" s="115">
        <f>+DH13*0.9</f>
        <v>226.8</v>
      </c>
      <c r="DM13" s="115">
        <f>+DI13*0.9</f>
        <v>222.3</v>
      </c>
      <c r="DN13" s="115">
        <f>+DJ13*0.9</f>
        <v>217.8</v>
      </c>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5"/>
        <v>477</v>
      </c>
      <c r="EV13" s="44">
        <f t="shared" si="3"/>
        <v>787</v>
      </c>
      <c r="EW13" s="44">
        <f t="shared" si="4"/>
        <v>1002</v>
      </c>
      <c r="EX13" s="44">
        <f t="shared" si="5"/>
        <v>1003</v>
      </c>
      <c r="EY13" s="44">
        <f t="shared" si="6"/>
        <v>1036</v>
      </c>
      <c r="EZ13" s="44">
        <f t="shared" si="7"/>
        <v>978</v>
      </c>
      <c r="FA13" s="44">
        <f t="shared" si="8"/>
        <v>880.2</v>
      </c>
      <c r="FB13" s="44">
        <f t="shared" ref="EZ13:FK13" si="25">+FA13*0.9</f>
        <v>792.18000000000006</v>
      </c>
      <c r="FC13" s="44">
        <f t="shared" si="25"/>
        <v>712.9620000000001</v>
      </c>
      <c r="FD13" s="44">
        <f t="shared" si="25"/>
        <v>641.6658000000001</v>
      </c>
      <c r="FE13" s="44">
        <f t="shared" si="25"/>
        <v>577.49922000000015</v>
      </c>
      <c r="FF13" s="44">
        <f t="shared" si="25"/>
        <v>519.74929800000018</v>
      </c>
      <c r="FG13" s="44">
        <f t="shared" si="25"/>
        <v>467.7743682000002</v>
      </c>
      <c r="FH13" s="44">
        <f t="shared" si="25"/>
        <v>420.99693138000021</v>
      </c>
      <c r="FI13" s="44">
        <f t="shared" si="25"/>
        <v>378.89723824200018</v>
      </c>
      <c r="FJ13" s="44">
        <f t="shared" si="25"/>
        <v>341.00751441780017</v>
      </c>
      <c r="FK13" s="44">
        <f t="shared" si="25"/>
        <v>306.90676297602016</v>
      </c>
      <c r="FL13" s="68"/>
      <c r="FM13" s="68"/>
      <c r="FN13" s="68"/>
      <c r="FO13" s="68"/>
      <c r="FP13" s="68"/>
      <c r="FQ13" s="83">
        <v>0</v>
      </c>
      <c r="FR13" s="68">
        <f>EQ13*0.7</f>
        <v>0</v>
      </c>
      <c r="FS13" s="84">
        <f>EV13*0.7</f>
        <v>550.9</v>
      </c>
      <c r="FT13" s="68"/>
    </row>
    <row r="14" spans="1:177" s="14" customFormat="1">
      <c r="B14" s="14" t="s">
        <v>1583</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v>392</v>
      </c>
      <c r="DK14" s="115">
        <f>+DG14*1.3</f>
        <v>231.4</v>
      </c>
      <c r="DL14" s="115">
        <f>+DH14*1.3</f>
        <v>462.8</v>
      </c>
      <c r="DM14" s="115">
        <f>+DI14*1.3</f>
        <v>438.1</v>
      </c>
      <c r="DN14" s="115">
        <f>+DJ14*1.3</f>
        <v>509.6</v>
      </c>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 t="shared" si="7"/>
        <v>1263</v>
      </c>
      <c r="FA14" s="44">
        <f t="shared" si="8"/>
        <v>1641.9</v>
      </c>
      <c r="FB14" s="44">
        <f t="shared" ref="FA14:FF14" si="26">+FA14*1.1</f>
        <v>1806.0900000000001</v>
      </c>
      <c r="FC14" s="44">
        <f t="shared" si="26"/>
        <v>1986.6990000000003</v>
      </c>
      <c r="FD14" s="44">
        <f t="shared" si="26"/>
        <v>2185.3689000000004</v>
      </c>
      <c r="FE14" s="44">
        <f t="shared" si="26"/>
        <v>2403.9057900000007</v>
      </c>
      <c r="FF14" s="44">
        <f t="shared" si="26"/>
        <v>2644.2963690000011</v>
      </c>
      <c r="FG14" s="44"/>
      <c r="FH14" s="44"/>
      <c r="FI14" s="44"/>
      <c r="FJ14" s="44"/>
      <c r="FK14" s="44"/>
      <c r="FL14" s="68"/>
      <c r="FM14" s="68"/>
      <c r="FN14" s="68"/>
      <c r="FO14" s="68"/>
      <c r="FP14" s="68"/>
      <c r="FQ14" s="68"/>
      <c r="FR14" s="68"/>
      <c r="FS14" s="84"/>
      <c r="FT14" s="68"/>
    </row>
    <row r="15" spans="1:177" s="14" customFormat="1">
      <c r="B15" s="14" t="s">
        <v>1613</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v>285</v>
      </c>
      <c r="DK15" s="115">
        <f>+DG15*1.05</f>
        <v>269.85000000000002</v>
      </c>
      <c r="DL15" s="115">
        <f>+DH15*1.05</f>
        <v>292.95</v>
      </c>
      <c r="DM15" s="115">
        <f>+DI15*1.05</f>
        <v>281.40000000000003</v>
      </c>
      <c r="DN15" s="115">
        <f>+DJ15*1.05</f>
        <v>299.25</v>
      </c>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f t="shared" si="7"/>
        <v>1089</v>
      </c>
      <c r="FA15" s="44">
        <f t="shared" si="8"/>
        <v>1143.45</v>
      </c>
      <c r="FB15" s="44">
        <f>+FA15*1.01</f>
        <v>1154.8845000000001</v>
      </c>
      <c r="FC15" s="44">
        <f t="shared" ref="FC15:FK15" si="27">+FB15*1.01</f>
        <v>1166.4333450000001</v>
      </c>
      <c r="FD15" s="44">
        <f t="shared" si="27"/>
        <v>1178.0976784500001</v>
      </c>
      <c r="FE15" s="44">
        <f t="shared" si="27"/>
        <v>1189.8786552345</v>
      </c>
      <c r="FF15" s="44">
        <f t="shared" si="27"/>
        <v>1201.777441786845</v>
      </c>
      <c r="FG15" s="44">
        <f t="shared" si="27"/>
        <v>1213.7952162047134</v>
      </c>
      <c r="FH15" s="44">
        <f t="shared" si="27"/>
        <v>1225.9331683667606</v>
      </c>
      <c r="FI15" s="44">
        <f t="shared" si="27"/>
        <v>1238.1925000504282</v>
      </c>
      <c r="FJ15" s="44">
        <f t="shared" si="27"/>
        <v>1250.5744250509324</v>
      </c>
      <c r="FK15" s="44">
        <f t="shared" si="27"/>
        <v>1263.0801693014416</v>
      </c>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v>170</v>
      </c>
      <c r="DK16" s="115">
        <f>+DG16*0.99</f>
        <v>165.33</v>
      </c>
      <c r="DL16" s="115">
        <f>+DH16*0.99</f>
        <v>142.56</v>
      </c>
      <c r="DM16" s="115">
        <f>+DI16*0.99</f>
        <v>154.44</v>
      </c>
      <c r="DN16" s="115">
        <f>+DJ16*0.99</f>
        <v>168.3</v>
      </c>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8">+EP16*0.9</f>
        <v>319.5</v>
      </c>
      <c r="ER16" s="44">
        <f t="shared" si="28"/>
        <v>287.55</v>
      </c>
      <c r="EU16" s="44">
        <f t="shared" si="15"/>
        <v>684</v>
      </c>
      <c r="EV16" s="44">
        <f t="shared" si="3"/>
        <v>618</v>
      </c>
      <c r="EW16" s="44">
        <f t="shared" si="4"/>
        <v>683</v>
      </c>
      <c r="EX16" s="44">
        <f t="shared" si="5"/>
        <v>787</v>
      </c>
      <c r="EY16" s="44">
        <f t="shared" si="6"/>
        <v>757</v>
      </c>
      <c r="EZ16" s="44">
        <f t="shared" si="7"/>
        <v>637</v>
      </c>
      <c r="FA16" s="44">
        <f t="shared" si="8"/>
        <v>630.63</v>
      </c>
      <c r="FB16" s="44">
        <f t="shared" ref="EZ16:FK18" si="29">+FA16*0.9</f>
        <v>567.56700000000001</v>
      </c>
      <c r="FC16" s="44">
        <f t="shared" si="29"/>
        <v>510.81030000000004</v>
      </c>
      <c r="FD16" s="44">
        <f t="shared" si="29"/>
        <v>459.72927000000004</v>
      </c>
      <c r="FE16" s="44">
        <f t="shared" si="29"/>
        <v>413.75634300000007</v>
      </c>
      <c r="FF16" s="44">
        <f t="shared" si="29"/>
        <v>372.38070870000007</v>
      </c>
      <c r="FG16" s="44">
        <f t="shared" si="29"/>
        <v>335.14263783000007</v>
      </c>
      <c r="FH16" s="44">
        <f t="shared" si="29"/>
        <v>301.62837404700008</v>
      </c>
      <c r="FI16" s="44">
        <f t="shared" si="29"/>
        <v>271.46553664230009</v>
      </c>
      <c r="FJ16" s="44">
        <f t="shared" si="29"/>
        <v>244.3189829780701</v>
      </c>
      <c r="FK16" s="44">
        <f t="shared" si="29"/>
        <v>219.88708468026309</v>
      </c>
      <c r="FQ16" s="44"/>
      <c r="FS16" s="82">
        <f>+EV16*0.5</f>
        <v>309</v>
      </c>
    </row>
    <row r="17" spans="1:184">
      <c r="B17" s="14" t="s">
        <v>1614</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v>198</v>
      </c>
      <c r="DK17" s="115">
        <f>+DG17</f>
        <v>145</v>
      </c>
      <c r="DL17" s="115">
        <f>+DH17</f>
        <v>56</v>
      </c>
      <c r="DM17" s="115">
        <f>+DI17</f>
        <v>356</v>
      </c>
      <c r="DN17" s="115">
        <f>+DJ17</f>
        <v>198</v>
      </c>
      <c r="DO17" s="115"/>
      <c r="DP17" s="44"/>
      <c r="DQ17" s="44"/>
      <c r="DS17" s="205"/>
      <c r="DT17" s="205"/>
      <c r="DU17" s="197"/>
      <c r="DV17" s="197"/>
      <c r="DW17" s="196"/>
      <c r="DX17" s="196"/>
      <c r="DY17" s="44"/>
      <c r="DZ17" s="68"/>
      <c r="EA17" s="68"/>
      <c r="EB17" s="68"/>
      <c r="EC17" s="68"/>
      <c r="ED17" s="68"/>
      <c r="EE17" s="68"/>
      <c r="EF17" s="68"/>
      <c r="EG17" s="44"/>
      <c r="EH17" s="44"/>
      <c r="EI17" s="44"/>
      <c r="EJ17" s="44"/>
      <c r="EK17" s="65"/>
      <c r="EZ17" s="44">
        <f t="shared" si="7"/>
        <v>755</v>
      </c>
      <c r="FA17" s="44">
        <f t="shared" si="8"/>
        <v>755</v>
      </c>
      <c r="FB17" s="44">
        <f>+FA17*0.9</f>
        <v>679.5</v>
      </c>
      <c r="FC17" s="44">
        <f t="shared" si="29"/>
        <v>611.55000000000007</v>
      </c>
      <c r="FD17" s="44">
        <f t="shared" si="29"/>
        <v>550.3950000000001</v>
      </c>
      <c r="FE17" s="44">
        <f t="shared" si="29"/>
        <v>495.35550000000012</v>
      </c>
      <c r="FF17" s="44">
        <f t="shared" si="29"/>
        <v>445.81995000000012</v>
      </c>
      <c r="FG17" s="44">
        <f t="shared" si="29"/>
        <v>401.23795500000011</v>
      </c>
      <c r="FH17" s="44">
        <f t="shared" si="29"/>
        <v>361.11415950000008</v>
      </c>
      <c r="FI17" s="44">
        <f t="shared" si="29"/>
        <v>325.0027435500001</v>
      </c>
      <c r="FJ17" s="44">
        <f t="shared" si="29"/>
        <v>292.50246919500012</v>
      </c>
      <c r="FK17" s="44">
        <f t="shared" si="29"/>
        <v>263.25222227550012</v>
      </c>
      <c r="FQ17" s="44"/>
    </row>
    <row r="18" spans="1:184">
      <c r="B18" s="14" t="s">
        <v>1620</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206" t="s">
        <v>1682</v>
      </c>
      <c r="DG18" s="115">
        <v>264</v>
      </c>
      <c r="DH18" s="115"/>
      <c r="DI18" s="115">
        <v>285</v>
      </c>
      <c r="DJ18" s="115">
        <v>209</v>
      </c>
      <c r="DK18" s="115">
        <f>+DJ18</f>
        <v>209</v>
      </c>
      <c r="DL18" s="115">
        <f>+DK18</f>
        <v>209</v>
      </c>
      <c r="DM18" s="115">
        <f>+DL18</f>
        <v>209</v>
      </c>
      <c r="DN18" s="115">
        <f>+DM18</f>
        <v>209</v>
      </c>
      <c r="DO18" s="115"/>
      <c r="DP18" s="44"/>
      <c r="DQ18" s="44"/>
      <c r="DU18" s="68"/>
      <c r="DV18" s="68"/>
      <c r="DW18" s="44"/>
      <c r="DX18" s="44"/>
      <c r="DY18" s="44"/>
      <c r="DZ18" s="68"/>
      <c r="EA18" s="68"/>
      <c r="EB18" s="68"/>
      <c r="EC18" s="68"/>
      <c r="ED18" s="68"/>
      <c r="EE18" s="68"/>
      <c r="EF18" s="68"/>
      <c r="EG18" s="44"/>
      <c r="EH18" s="44"/>
      <c r="EI18" s="44"/>
      <c r="EJ18" s="44"/>
      <c r="EK18" s="65"/>
      <c r="EZ18" s="44">
        <f t="shared" si="7"/>
        <v>758</v>
      </c>
      <c r="FA18" s="44">
        <f t="shared" si="8"/>
        <v>836</v>
      </c>
      <c r="FB18" s="44">
        <f t="shared" ref="FB18:FK18" si="30">+FA18*0.9</f>
        <v>752.4</v>
      </c>
      <c r="FC18" s="44">
        <f t="shared" si="29"/>
        <v>677.16</v>
      </c>
      <c r="FD18" s="44">
        <f t="shared" si="29"/>
        <v>609.44399999999996</v>
      </c>
      <c r="FE18" s="44">
        <f t="shared" si="29"/>
        <v>548.49959999999999</v>
      </c>
      <c r="FF18" s="44">
        <f t="shared" si="29"/>
        <v>493.64963999999998</v>
      </c>
      <c r="FG18" s="44">
        <f t="shared" si="29"/>
        <v>444.28467599999999</v>
      </c>
      <c r="FH18" s="44">
        <f t="shared" si="29"/>
        <v>399.85620840000001</v>
      </c>
      <c r="FI18" s="44">
        <f t="shared" si="29"/>
        <v>359.87058756000005</v>
      </c>
      <c r="FJ18" s="44">
        <f t="shared" si="29"/>
        <v>323.88352880400004</v>
      </c>
      <c r="FK18" s="44">
        <f t="shared" si="29"/>
        <v>291.49517592360002</v>
      </c>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5"/>
        <v>0</v>
      </c>
      <c r="EV19" s="44">
        <f t="shared" si="3"/>
        <v>127</v>
      </c>
      <c r="EW19" s="44">
        <f t="shared" si="4"/>
        <v>444</v>
      </c>
      <c r="EX19" s="44">
        <f t="shared" si="5"/>
        <v>561</v>
      </c>
      <c r="EY19" s="44">
        <f t="shared" si="6"/>
        <v>294</v>
      </c>
      <c r="EZ19" s="44"/>
      <c r="FA19" s="44"/>
      <c r="FB19" s="44"/>
      <c r="FC19" s="44"/>
      <c r="FD19" s="44"/>
      <c r="FE19" s="44"/>
      <c r="FF19" s="44"/>
      <c r="FG19" s="44"/>
      <c r="FH19" s="44"/>
      <c r="FI19" s="44"/>
      <c r="FJ19" s="44"/>
      <c r="FK19" s="44"/>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v>127</v>
      </c>
      <c r="DK20" s="115">
        <f>+DG20*0.9</f>
        <v>142.20000000000002</v>
      </c>
      <c r="DL20" s="115">
        <f t="shared" ref="DL20:DN20" si="31">+DH20*0.9</f>
        <v>87.3</v>
      </c>
      <c r="DM20" s="115">
        <f t="shared" si="31"/>
        <v>113.4</v>
      </c>
      <c r="DN20" s="115">
        <f t="shared" si="31"/>
        <v>114.3</v>
      </c>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5"/>
        <v>625</v>
      </c>
      <c r="EV20" s="44">
        <f t="shared" si="3"/>
        <v>658</v>
      </c>
      <c r="EW20" s="44">
        <f t="shared" si="4"/>
        <v>656</v>
      </c>
      <c r="EX20" s="44">
        <f t="shared" si="5"/>
        <v>532</v>
      </c>
      <c r="EY20" s="44">
        <f t="shared" si="6"/>
        <v>490</v>
      </c>
      <c r="EZ20" s="44">
        <f t="shared" si="7"/>
        <v>508</v>
      </c>
      <c r="FA20" s="44">
        <f t="shared" si="8"/>
        <v>457.2</v>
      </c>
      <c r="FB20" s="44">
        <f t="shared" ref="EZ20:FK20" si="32">+FA20*0.9</f>
        <v>411.48</v>
      </c>
      <c r="FC20" s="44">
        <f t="shared" si="32"/>
        <v>370.33200000000005</v>
      </c>
      <c r="FD20" s="44">
        <f t="shared" si="32"/>
        <v>333.29880000000003</v>
      </c>
      <c r="FE20" s="44">
        <f t="shared" si="32"/>
        <v>299.96892000000003</v>
      </c>
      <c r="FF20" s="44">
        <f t="shared" si="32"/>
        <v>269.97202800000002</v>
      </c>
      <c r="FG20" s="44">
        <f t="shared" si="32"/>
        <v>242.97482520000003</v>
      </c>
      <c r="FH20" s="44">
        <f t="shared" si="32"/>
        <v>218.67734268000004</v>
      </c>
      <c r="FI20" s="44">
        <f t="shared" si="32"/>
        <v>196.80960841200005</v>
      </c>
      <c r="FJ20" s="44">
        <f t="shared" si="32"/>
        <v>177.12864757080004</v>
      </c>
      <c r="FK20" s="44">
        <f t="shared" si="32"/>
        <v>159.41578281372003</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v>171</v>
      </c>
      <c r="DK21" s="115">
        <f>+DG21*1.05</f>
        <v>152.25</v>
      </c>
      <c r="DL21" s="115">
        <f>+DH21*1.05</f>
        <v>175.35</v>
      </c>
      <c r="DM21" s="115">
        <f>+DI21*1.05</f>
        <v>169.05</v>
      </c>
      <c r="DN21" s="115">
        <f>+DJ21*1.05</f>
        <v>179.55</v>
      </c>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5"/>
        <v>365</v>
      </c>
      <c r="EV21" s="44">
        <f t="shared" si="3"/>
        <v>450</v>
      </c>
      <c r="EW21" s="44">
        <f t="shared" si="4"/>
        <v>540</v>
      </c>
      <c r="EX21" s="44">
        <f t="shared" si="5"/>
        <v>575</v>
      </c>
      <c r="EY21" s="44">
        <f t="shared" si="6"/>
        <v>646</v>
      </c>
      <c r="EZ21" s="44">
        <f t="shared" si="7"/>
        <v>644</v>
      </c>
      <c r="FA21" s="44">
        <f t="shared" si="8"/>
        <v>676.2</v>
      </c>
      <c r="FB21" s="44">
        <f t="shared" ref="EZ21:FK21" si="33">+FA21*0.9</f>
        <v>608.58000000000004</v>
      </c>
      <c r="FC21" s="44">
        <f t="shared" si="33"/>
        <v>547.72200000000009</v>
      </c>
      <c r="FD21" s="44">
        <f t="shared" si="33"/>
        <v>492.9498000000001</v>
      </c>
      <c r="FE21" s="44">
        <f t="shared" si="33"/>
        <v>443.65482000000009</v>
      </c>
      <c r="FF21" s="44">
        <f t="shared" si="33"/>
        <v>399.2893380000001</v>
      </c>
      <c r="FG21" s="44">
        <f t="shared" si="33"/>
        <v>359.36040420000012</v>
      </c>
      <c r="FH21" s="44">
        <f t="shared" si="33"/>
        <v>323.42436378000014</v>
      </c>
      <c r="FI21" s="44">
        <f t="shared" si="33"/>
        <v>291.08192740200013</v>
      </c>
      <c r="FJ21" s="44">
        <f t="shared" si="33"/>
        <v>261.97373466180011</v>
      </c>
      <c r="FK21" s="44">
        <f t="shared" si="33"/>
        <v>235.7763611956201</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34">+EQ22*1.1</f>
        <v>528.7700000000001</v>
      </c>
      <c r="ES22" s="44">
        <f t="shared" si="34"/>
        <v>581.64700000000016</v>
      </c>
      <c r="ET22" s="44">
        <f t="shared" si="34"/>
        <v>639.8117000000002</v>
      </c>
      <c r="EU22" s="44">
        <f t="shared" si="15"/>
        <v>531</v>
      </c>
      <c r="EV22" s="44">
        <f t="shared" si="3"/>
        <v>544</v>
      </c>
      <c r="EW22" s="44">
        <f t="shared" si="4"/>
        <v>492</v>
      </c>
      <c r="EX22" s="44">
        <f t="shared" si="5"/>
        <v>466</v>
      </c>
      <c r="EY22" s="44">
        <f t="shared" si="6"/>
        <v>263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v>122</v>
      </c>
      <c r="DK23" s="115">
        <f>+DG23</f>
        <v>200</v>
      </c>
      <c r="DL23" s="115">
        <f>+DH23</f>
        <v>74</v>
      </c>
      <c r="DM23" s="115">
        <f>+DI23</f>
        <v>83</v>
      </c>
      <c r="DN23" s="115">
        <f>+DJ23</f>
        <v>122</v>
      </c>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5">+EP23*0.95</f>
        <v>297.34999999999997</v>
      </c>
      <c r="ER23" s="44">
        <f t="shared" si="35"/>
        <v>282.48249999999996</v>
      </c>
      <c r="ES23" s="44">
        <f t="shared" si="35"/>
        <v>268.35837499999997</v>
      </c>
      <c r="ET23" s="44">
        <f t="shared" si="35"/>
        <v>254.94045624999995</v>
      </c>
      <c r="EU23" s="44">
        <f t="shared" si="15"/>
        <v>336</v>
      </c>
      <c r="EV23" s="44">
        <f t="shared" si="3"/>
        <v>276</v>
      </c>
      <c r="EW23" s="44">
        <f t="shared" si="4"/>
        <v>279</v>
      </c>
      <c r="EX23" s="44">
        <f t="shared" si="5"/>
        <v>331</v>
      </c>
      <c r="EY23" s="44">
        <f t="shared" si="6"/>
        <v>406</v>
      </c>
      <c r="EZ23" s="44">
        <f t="shared" si="7"/>
        <v>479</v>
      </c>
      <c r="FA23" s="44">
        <f t="shared" si="8"/>
        <v>479</v>
      </c>
      <c r="FB23" s="44">
        <f t="shared" ref="EZ23:FK23" si="36">+FA23*0.9</f>
        <v>431.1</v>
      </c>
      <c r="FC23" s="44">
        <f t="shared" si="36"/>
        <v>387.99</v>
      </c>
      <c r="FD23" s="44">
        <f t="shared" si="36"/>
        <v>349.19100000000003</v>
      </c>
      <c r="FE23" s="44">
        <f t="shared" si="36"/>
        <v>314.27190000000002</v>
      </c>
      <c r="FF23" s="44">
        <f t="shared" si="36"/>
        <v>282.84471000000002</v>
      </c>
      <c r="FG23" s="44">
        <f t="shared" si="36"/>
        <v>254.56023900000002</v>
      </c>
      <c r="FH23" s="44">
        <f t="shared" si="36"/>
        <v>229.10421510000003</v>
      </c>
      <c r="FI23" s="44">
        <f t="shared" si="36"/>
        <v>206.19379359000004</v>
      </c>
      <c r="FJ23" s="44">
        <f t="shared" si="36"/>
        <v>185.57441423100005</v>
      </c>
      <c r="FK23" s="44">
        <f t="shared" si="36"/>
        <v>167.01697280790006</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5"/>
        <v>0</v>
      </c>
      <c r="EV24" s="44">
        <f t="shared" si="3"/>
        <v>151</v>
      </c>
      <c r="EW24" s="44">
        <f t="shared" si="4"/>
        <v>490</v>
      </c>
      <c r="EX24" s="44">
        <f t="shared" si="5"/>
        <v>458</v>
      </c>
      <c r="EY24" s="44">
        <f t="shared" si="6"/>
        <v>276</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5"/>
        <v>225</v>
      </c>
      <c r="EV25" s="44">
        <f t="shared" si="3"/>
        <v>386</v>
      </c>
      <c r="EW25" s="44">
        <f t="shared" si="4"/>
        <v>444</v>
      </c>
      <c r="EX25" s="44">
        <f t="shared" si="5"/>
        <v>394</v>
      </c>
      <c r="EY25" s="44">
        <f t="shared" si="6"/>
        <v>248</v>
      </c>
      <c r="FU25" s="14"/>
    </row>
    <row r="26" spans="1:184">
      <c r="B26" s="14" t="s">
        <v>1616</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v>64</v>
      </c>
      <c r="DK26" s="115">
        <f>+DJ26+3</f>
        <v>67</v>
      </c>
      <c r="DL26" s="115">
        <f>+DK26+3</f>
        <v>70</v>
      </c>
      <c r="DM26" s="115">
        <f>+DL26+3</f>
        <v>73</v>
      </c>
      <c r="DN26" s="115">
        <f>+DM26+3</f>
        <v>76</v>
      </c>
      <c r="DO26" s="115"/>
      <c r="DP26" s="44"/>
      <c r="DQ26" s="44"/>
      <c r="DU26" s="68"/>
      <c r="DV26" s="197"/>
      <c r="DW26" s="196"/>
      <c r="DX26" s="196"/>
      <c r="DY26" s="196"/>
      <c r="DZ26" s="197"/>
      <c r="EA26" s="197"/>
      <c r="EB26" s="197"/>
      <c r="EC26" s="197"/>
      <c r="ED26" s="68"/>
      <c r="EE26" s="68"/>
      <c r="EF26" s="68"/>
      <c r="EG26" s="44"/>
      <c r="EH26" s="44"/>
      <c r="EI26" s="44"/>
      <c r="EJ26" s="44"/>
      <c r="EK26" s="65"/>
      <c r="EZ26" s="44">
        <f t="shared" si="7"/>
        <v>216</v>
      </c>
      <c r="FA26" s="44">
        <f t="shared" si="8"/>
        <v>286</v>
      </c>
      <c r="FB26" s="44">
        <f>+FA26*0.9</f>
        <v>257.40000000000003</v>
      </c>
      <c r="FC26" s="44">
        <f t="shared" ref="FC26:FK26" si="37">+FB26*0.9</f>
        <v>231.66000000000003</v>
      </c>
      <c r="FD26" s="44">
        <f t="shared" si="37"/>
        <v>208.49400000000003</v>
      </c>
      <c r="FE26" s="44">
        <f t="shared" si="37"/>
        <v>187.64460000000003</v>
      </c>
      <c r="FF26" s="44">
        <f t="shared" si="37"/>
        <v>168.88014000000004</v>
      </c>
      <c r="FG26" s="44">
        <f t="shared" si="37"/>
        <v>151.99212600000004</v>
      </c>
      <c r="FH26" s="44">
        <f t="shared" si="37"/>
        <v>136.79291340000003</v>
      </c>
      <c r="FI26" s="44">
        <f t="shared" si="37"/>
        <v>123.11362206000003</v>
      </c>
      <c r="FJ26" s="44">
        <f t="shared" si="37"/>
        <v>110.80225985400003</v>
      </c>
      <c r="FK26" s="44">
        <f t="shared" si="37"/>
        <v>99.722033868600022</v>
      </c>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8">EP27*1.05</f>
        <v>1233.75</v>
      </c>
      <c r="ER27" s="68">
        <f t="shared" si="38"/>
        <v>1295.4375</v>
      </c>
      <c r="ES27" s="68">
        <f t="shared" si="38"/>
        <v>1360.2093750000001</v>
      </c>
      <c r="ET27" s="68">
        <f>ES27*0.3</f>
        <v>408.06281250000001</v>
      </c>
      <c r="EU27" s="44">
        <f t="shared" si="15"/>
        <v>935</v>
      </c>
      <c r="EV27" s="44">
        <f t="shared" si="3"/>
        <v>819</v>
      </c>
      <c r="EW27" s="44">
        <f t="shared" si="4"/>
        <v>673</v>
      </c>
      <c r="EX27" s="44">
        <f t="shared" si="5"/>
        <v>346</v>
      </c>
      <c r="EY27" s="44">
        <f t="shared" si="6"/>
        <v>131</v>
      </c>
      <c r="EZ27" s="44"/>
      <c r="FA27" s="44"/>
      <c r="FB27" s="44"/>
      <c r="FC27" s="44"/>
      <c r="FD27" s="44"/>
      <c r="FE27" s="44"/>
      <c r="FF27" s="44"/>
      <c r="FG27" s="44"/>
      <c r="FH27" s="44"/>
      <c r="FI27" s="44"/>
      <c r="FJ27" s="44"/>
      <c r="FK27" s="44"/>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v>87</v>
      </c>
      <c r="DK28" s="115">
        <f t="shared" ref="DK28:DN28" si="39">+DJ28</f>
        <v>87</v>
      </c>
      <c r="DL28" s="115">
        <f t="shared" si="39"/>
        <v>87</v>
      </c>
      <c r="DM28" s="115">
        <f t="shared" si="39"/>
        <v>87</v>
      </c>
      <c r="DN28" s="115">
        <f t="shared" si="39"/>
        <v>87</v>
      </c>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40">SUM(AY28:BB28)</f>
        <v>145</v>
      </c>
      <c r="EL28" s="44">
        <f>SUM(BC28:BF28)</f>
        <v>1047</v>
      </c>
      <c r="EM28" s="44">
        <f>SUM(BG28:BJ28)</f>
        <v>1199</v>
      </c>
      <c r="EN28" s="44">
        <f>SUM(BK28:BN28)</f>
        <v>1359</v>
      </c>
      <c r="EO28" s="44">
        <f>SUM(BO28:BR28)</f>
        <v>1434</v>
      </c>
      <c r="EP28" s="44">
        <f t="shared" ref="EP28:EP86" si="41">SUM(BS28:BV28)</f>
        <v>1027</v>
      </c>
      <c r="EQ28" s="44">
        <f t="shared" ref="EQ28:ET28" si="42">+EP28*0.9</f>
        <v>924.30000000000007</v>
      </c>
      <c r="ER28" s="44">
        <f t="shared" si="42"/>
        <v>831.87000000000012</v>
      </c>
      <c r="ES28" s="44">
        <f t="shared" si="42"/>
        <v>748.68300000000011</v>
      </c>
      <c r="ET28" s="44">
        <f t="shared" si="42"/>
        <v>673.81470000000013</v>
      </c>
      <c r="EU28" s="44">
        <f t="shared" si="15"/>
        <v>488</v>
      </c>
      <c r="EV28" s="44">
        <f t="shared" si="3"/>
        <v>454</v>
      </c>
      <c r="EW28" s="44">
        <f t="shared" si="4"/>
        <v>437</v>
      </c>
      <c r="EX28" s="44">
        <f t="shared" si="5"/>
        <v>425</v>
      </c>
      <c r="EY28" s="44">
        <f t="shared" si="6"/>
        <v>425</v>
      </c>
      <c r="EZ28" s="44">
        <f t="shared" si="7"/>
        <v>381</v>
      </c>
      <c r="FA28" s="44">
        <f t="shared" si="8"/>
        <v>348</v>
      </c>
      <c r="FB28" s="44">
        <f t="shared" ref="EZ28:FK28" si="43">+FA28*0.9</f>
        <v>313.2</v>
      </c>
      <c r="FC28" s="44">
        <f t="shared" si="43"/>
        <v>281.88</v>
      </c>
      <c r="FD28" s="44">
        <f t="shared" si="43"/>
        <v>253.69200000000001</v>
      </c>
      <c r="FE28" s="44">
        <f t="shared" si="43"/>
        <v>228.3228</v>
      </c>
      <c r="FF28" s="44">
        <f t="shared" si="43"/>
        <v>205.49052</v>
      </c>
      <c r="FG28" s="44">
        <f t="shared" si="43"/>
        <v>184.94146800000001</v>
      </c>
      <c r="FH28" s="44">
        <f t="shared" si="43"/>
        <v>166.4473212</v>
      </c>
      <c r="FI28" s="44">
        <f t="shared" si="43"/>
        <v>149.80258908000002</v>
      </c>
      <c r="FJ28" s="44">
        <f t="shared" si="43"/>
        <v>134.82233017200002</v>
      </c>
      <c r="FK28" s="44">
        <f t="shared" si="43"/>
        <v>121.34009715480002</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v>109</v>
      </c>
      <c r="DK29" s="115">
        <f t="shared" ref="DK29:DN29" si="44">+DJ29</f>
        <v>109</v>
      </c>
      <c r="DL29" s="115">
        <f t="shared" si="44"/>
        <v>109</v>
      </c>
      <c r="DM29" s="115">
        <f t="shared" si="44"/>
        <v>109</v>
      </c>
      <c r="DN29" s="115">
        <f t="shared" si="44"/>
        <v>109</v>
      </c>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5"/>
        <v>137</v>
      </c>
      <c r="EV29" s="44">
        <f t="shared" si="3"/>
        <v>330</v>
      </c>
      <c r="EW29" s="44">
        <f t="shared" si="4"/>
        <v>430</v>
      </c>
      <c r="EX29" s="44">
        <f t="shared" si="5"/>
        <v>491</v>
      </c>
      <c r="EY29" s="44">
        <f t="shared" si="6"/>
        <v>459</v>
      </c>
      <c r="EZ29" s="44">
        <f t="shared" si="7"/>
        <v>434</v>
      </c>
      <c r="FA29" s="44">
        <f t="shared" si="8"/>
        <v>436</v>
      </c>
      <c r="FB29" s="44">
        <f t="shared" ref="EZ29:FK29" si="45">+FA29*0.9</f>
        <v>392.40000000000003</v>
      </c>
      <c r="FC29" s="44">
        <f t="shared" si="45"/>
        <v>353.16</v>
      </c>
      <c r="FD29" s="44">
        <f t="shared" si="45"/>
        <v>317.84400000000005</v>
      </c>
      <c r="FE29" s="44">
        <f t="shared" si="45"/>
        <v>286.05960000000005</v>
      </c>
      <c r="FF29" s="44">
        <f t="shared" si="45"/>
        <v>257.45364000000006</v>
      </c>
      <c r="FG29" s="44">
        <f t="shared" si="45"/>
        <v>231.70827600000007</v>
      </c>
      <c r="FH29" s="44">
        <f t="shared" si="45"/>
        <v>208.53744840000007</v>
      </c>
      <c r="FI29" s="44">
        <f t="shared" si="45"/>
        <v>187.68370356000008</v>
      </c>
      <c r="FJ29" s="44">
        <f t="shared" si="45"/>
        <v>168.91533320400009</v>
      </c>
      <c r="FK29" s="44">
        <f t="shared" si="45"/>
        <v>152.02379988360008</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v>159</v>
      </c>
      <c r="DK30" s="115">
        <f t="shared" ref="DK30:DN30" si="46">+DJ30</f>
        <v>159</v>
      </c>
      <c r="DL30" s="115">
        <f t="shared" si="46"/>
        <v>159</v>
      </c>
      <c r="DM30" s="115">
        <f t="shared" si="46"/>
        <v>159</v>
      </c>
      <c r="DN30" s="115">
        <f t="shared" si="46"/>
        <v>159</v>
      </c>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5"/>
        <v>0</v>
      </c>
      <c r="EV30" s="44">
        <f t="shared" si="3"/>
        <v>117</v>
      </c>
      <c r="EW30" s="44">
        <f t="shared" si="4"/>
        <v>412</v>
      </c>
      <c r="EX30" s="44">
        <f t="shared" si="5"/>
        <v>411</v>
      </c>
      <c r="EY30" s="44">
        <f t="shared" si="6"/>
        <v>511</v>
      </c>
      <c r="EZ30" s="44">
        <f t="shared" si="7"/>
        <v>586</v>
      </c>
      <c r="FA30" s="44">
        <f t="shared" si="8"/>
        <v>636</v>
      </c>
      <c r="FB30" s="44">
        <f t="shared" ref="EZ30:FK30" si="47">+FA30*0.9</f>
        <v>572.4</v>
      </c>
      <c r="FC30" s="44">
        <f t="shared" si="47"/>
        <v>515.16</v>
      </c>
      <c r="FD30" s="44">
        <f t="shared" si="47"/>
        <v>463.64400000000001</v>
      </c>
      <c r="FE30" s="44">
        <f t="shared" si="47"/>
        <v>417.27960000000002</v>
      </c>
      <c r="FF30" s="44">
        <f t="shared" si="47"/>
        <v>375.55164000000002</v>
      </c>
      <c r="FG30" s="44">
        <f t="shared" si="47"/>
        <v>337.99647600000003</v>
      </c>
      <c r="FH30" s="44">
        <f t="shared" si="47"/>
        <v>304.19682840000002</v>
      </c>
      <c r="FI30" s="44">
        <f t="shared" si="47"/>
        <v>273.77714556000001</v>
      </c>
      <c r="FJ30" s="44">
        <f t="shared" si="47"/>
        <v>246.39943100400001</v>
      </c>
      <c r="FK30" s="44">
        <f t="shared" si="47"/>
        <v>221.75948790360002</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v>97</v>
      </c>
      <c r="DK31" s="115">
        <f t="shared" ref="DK31:DN31" si="48">+DJ31</f>
        <v>97</v>
      </c>
      <c r="DL31" s="115">
        <f t="shared" si="48"/>
        <v>97</v>
      </c>
      <c r="DM31" s="115">
        <f t="shared" si="48"/>
        <v>97</v>
      </c>
      <c r="DN31" s="115">
        <f t="shared" si="48"/>
        <v>97</v>
      </c>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49">EP31*0.99</f>
        <v>1065.24</v>
      </c>
      <c r="ER31" s="44">
        <f t="shared" si="49"/>
        <v>1054.5876000000001</v>
      </c>
      <c r="ES31" s="44">
        <f t="shared" si="49"/>
        <v>1044.0417240000002</v>
      </c>
      <c r="ET31" s="44">
        <f t="shared" si="49"/>
        <v>1033.6013067600002</v>
      </c>
      <c r="EU31" s="44">
        <f t="shared" si="15"/>
        <v>735</v>
      </c>
      <c r="EV31" s="44">
        <f t="shared" si="3"/>
        <v>680</v>
      </c>
      <c r="EW31" s="44">
        <f t="shared" si="4"/>
        <v>562</v>
      </c>
      <c r="EX31" s="44">
        <f t="shared" si="5"/>
        <v>455</v>
      </c>
      <c r="EY31" s="44">
        <f t="shared" si="6"/>
        <v>285</v>
      </c>
      <c r="EZ31" s="44">
        <f t="shared" si="7"/>
        <v>295</v>
      </c>
      <c r="FA31" s="44">
        <f t="shared" si="8"/>
        <v>388</v>
      </c>
      <c r="FB31" s="44">
        <f t="shared" ref="EZ31:FK31" si="50">+FA31*0.9</f>
        <v>349.2</v>
      </c>
      <c r="FC31" s="44">
        <f t="shared" si="50"/>
        <v>314.27999999999997</v>
      </c>
      <c r="FD31" s="44">
        <f t="shared" si="50"/>
        <v>282.85199999999998</v>
      </c>
      <c r="FE31" s="44">
        <f t="shared" si="50"/>
        <v>254.56679999999997</v>
      </c>
      <c r="FF31" s="44">
        <f t="shared" si="50"/>
        <v>229.11011999999997</v>
      </c>
      <c r="FG31" s="44">
        <f t="shared" si="50"/>
        <v>206.19910799999997</v>
      </c>
      <c r="FH31" s="44">
        <f t="shared" si="50"/>
        <v>185.57919719999998</v>
      </c>
      <c r="FI31" s="44">
        <f t="shared" si="50"/>
        <v>167.02127747999998</v>
      </c>
      <c r="FJ31" s="44">
        <f t="shared" si="50"/>
        <v>150.319149732</v>
      </c>
      <c r="FK31" s="44">
        <f t="shared" si="50"/>
        <v>135.2872347588</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v>112</v>
      </c>
      <c r="DK32" s="115">
        <f>+DJ32</f>
        <v>112</v>
      </c>
      <c r="DL32" s="115">
        <f t="shared" ref="DL32:DN32" si="51">+DK32</f>
        <v>112</v>
      </c>
      <c r="DM32" s="115">
        <f t="shared" si="51"/>
        <v>112</v>
      </c>
      <c r="DN32" s="115">
        <f t="shared" si="51"/>
        <v>112</v>
      </c>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41"/>
        <v>723</v>
      </c>
      <c r="EQ32" s="44">
        <f t="shared" ref="EQ32:ET32" si="52">EP32*1.01</f>
        <v>730.23</v>
      </c>
      <c r="ER32" s="44">
        <f t="shared" si="52"/>
        <v>737.53230000000008</v>
      </c>
      <c r="ES32" s="44">
        <f t="shared" si="52"/>
        <v>744.90762300000006</v>
      </c>
      <c r="ET32" s="44">
        <f t="shared" si="52"/>
        <v>752.35669923000012</v>
      </c>
      <c r="EU32" s="44">
        <f t="shared" si="15"/>
        <v>498</v>
      </c>
      <c r="EV32" s="44">
        <f t="shared" si="3"/>
        <v>428</v>
      </c>
      <c r="EW32" s="44">
        <f t="shared" si="4"/>
        <v>390</v>
      </c>
      <c r="EX32" s="44">
        <f t="shared" si="5"/>
        <v>360</v>
      </c>
      <c r="EY32" s="44">
        <f t="shared" si="6"/>
        <v>539</v>
      </c>
      <c r="EZ32" s="44">
        <f t="shared" si="7"/>
        <v>470</v>
      </c>
      <c r="FA32" s="44">
        <f t="shared" si="8"/>
        <v>448</v>
      </c>
      <c r="FB32" s="44">
        <f t="shared" ref="EZ32:FK32" si="53">+FA32*0.9</f>
        <v>403.2</v>
      </c>
      <c r="FC32" s="44">
        <f t="shared" si="53"/>
        <v>362.88</v>
      </c>
      <c r="FD32" s="44">
        <f t="shared" si="53"/>
        <v>326.59199999999998</v>
      </c>
      <c r="FE32" s="44">
        <f t="shared" si="53"/>
        <v>293.93279999999999</v>
      </c>
      <c r="FF32" s="44">
        <f t="shared" si="53"/>
        <v>264.53951999999998</v>
      </c>
      <c r="FG32" s="44">
        <f t="shared" si="53"/>
        <v>238.08556799999999</v>
      </c>
      <c r="FH32" s="44">
        <f t="shared" si="53"/>
        <v>214.2770112</v>
      </c>
      <c r="FI32" s="44">
        <f t="shared" si="53"/>
        <v>192.84931008000001</v>
      </c>
      <c r="FJ32" s="44">
        <f t="shared" si="53"/>
        <v>173.56437907200001</v>
      </c>
      <c r="FK32" s="44">
        <f t="shared" si="53"/>
        <v>156.20794116480002</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4" si="54">SUM(BG33:BJ33)</f>
        <v>502</v>
      </c>
      <c r="EN33" s="44">
        <f t="shared" ref="EN33:EN76" si="55">SUM(BK33:BN33)</f>
        <v>523</v>
      </c>
      <c r="EO33" s="44">
        <f t="shared" ref="EO33:EO76" si="56">SUM(BO33:BR33)</f>
        <v>464</v>
      </c>
      <c r="EP33" s="44">
        <f t="shared" si="41"/>
        <v>427</v>
      </c>
      <c r="EQ33" s="44">
        <f t="shared" ref="EQ33:ET33" si="57">+EP33*0.7</f>
        <v>298.89999999999998</v>
      </c>
      <c r="ER33" s="44">
        <f t="shared" si="57"/>
        <v>209.22999999999996</v>
      </c>
      <c r="ES33" s="44">
        <f t="shared" si="57"/>
        <v>146.46099999999996</v>
      </c>
      <c r="ET33" s="44">
        <f t="shared" si="57"/>
        <v>102.52269999999996</v>
      </c>
      <c r="EU33" s="44">
        <f t="shared" si="15"/>
        <v>470</v>
      </c>
      <c r="EV33" s="44">
        <f t="shared" si="3"/>
        <v>401</v>
      </c>
      <c r="EW33" s="44">
        <f t="shared" si="4"/>
        <v>432</v>
      </c>
      <c r="EX33" s="44">
        <f t="shared" si="5"/>
        <v>327</v>
      </c>
      <c r="EY33" s="44">
        <f t="shared" si="6"/>
        <v>245</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5"/>
        <v>230</v>
      </c>
      <c r="EV34" s="44">
        <f t="shared" si="3"/>
        <v>221</v>
      </c>
      <c r="EW34" s="44">
        <f t="shared" si="4"/>
        <v>194</v>
      </c>
      <c r="EX34" s="44">
        <f t="shared" si="5"/>
        <v>269</v>
      </c>
      <c r="EY34" s="44">
        <f t="shared" si="6"/>
        <v>139</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v>192</v>
      </c>
      <c r="DK35" s="115">
        <f>+DG35*1.1</f>
        <v>180.4</v>
      </c>
      <c r="DL35" s="115">
        <f>+DH35*1.1</f>
        <v>185.9</v>
      </c>
      <c r="DM35" s="115">
        <f>+DI35*1.1</f>
        <v>226.60000000000002</v>
      </c>
      <c r="DN35" s="115">
        <f>+DJ35*1.1</f>
        <v>211.20000000000002</v>
      </c>
      <c r="DO35" s="115"/>
      <c r="DP35" s="44"/>
      <c r="DQ35" s="44"/>
      <c r="DU35" s="68"/>
      <c r="DV35" s="68"/>
      <c r="DW35" s="68"/>
      <c r="DX35" s="68"/>
      <c r="DY35" s="68"/>
      <c r="DZ35" s="68"/>
      <c r="EA35" s="68"/>
      <c r="EB35" s="68"/>
      <c r="EC35" s="68"/>
      <c r="ED35" s="44"/>
      <c r="EE35" s="44"/>
      <c r="EF35" s="44"/>
      <c r="EG35" s="44"/>
      <c r="EH35" s="44"/>
      <c r="EI35" s="44"/>
      <c r="EJ35" s="44"/>
      <c r="EK35" s="65"/>
      <c r="EU35" s="44">
        <f t="shared" si="15"/>
        <v>0</v>
      </c>
      <c r="EV35" s="44">
        <f t="shared" si="3"/>
        <v>117</v>
      </c>
      <c r="EW35" s="44">
        <f t="shared" si="4"/>
        <v>266</v>
      </c>
      <c r="EX35" s="44">
        <f t="shared" si="5"/>
        <v>343</v>
      </c>
      <c r="EY35" s="44">
        <f t="shared" si="6"/>
        <v>538</v>
      </c>
      <c r="EZ35" s="44">
        <f t="shared" si="7"/>
        <v>731</v>
      </c>
      <c r="FA35" s="44">
        <f t="shared" si="8"/>
        <v>804.10000000000014</v>
      </c>
      <c r="FB35" s="44">
        <f t="shared" ref="EZ35:FK35" si="58">+FA35*0.9</f>
        <v>723.69000000000017</v>
      </c>
      <c r="FC35" s="44">
        <f t="shared" si="58"/>
        <v>651.32100000000014</v>
      </c>
      <c r="FD35" s="44">
        <f t="shared" si="58"/>
        <v>586.1889000000001</v>
      </c>
      <c r="FE35" s="44">
        <f t="shared" si="58"/>
        <v>527.57001000000014</v>
      </c>
      <c r="FF35" s="44">
        <f t="shared" si="58"/>
        <v>474.81300900000014</v>
      </c>
      <c r="FG35" s="44">
        <f t="shared" si="58"/>
        <v>427.33170810000013</v>
      </c>
      <c r="FH35" s="44">
        <f t="shared" si="58"/>
        <v>384.59853729000014</v>
      </c>
      <c r="FI35" s="44">
        <f t="shared" si="58"/>
        <v>346.13868356100011</v>
      </c>
      <c r="FJ35" s="44">
        <f t="shared" si="58"/>
        <v>311.52481520490011</v>
      </c>
      <c r="FK35" s="44">
        <f t="shared" si="58"/>
        <v>280.37233368441008</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3" si="59">SUM(BS36:BV36)</f>
        <v>364</v>
      </c>
      <c r="EQ36" s="44">
        <f t="shared" ref="EQ36:ET36" si="60">+EP36</f>
        <v>364</v>
      </c>
      <c r="ER36" s="44">
        <f t="shared" si="60"/>
        <v>364</v>
      </c>
      <c r="ES36" s="44">
        <f t="shared" si="60"/>
        <v>364</v>
      </c>
      <c r="ET36" s="44">
        <f t="shared" si="60"/>
        <v>364</v>
      </c>
      <c r="EU36" s="44">
        <f t="shared" si="15"/>
        <v>253</v>
      </c>
      <c r="EV36" s="44">
        <f t="shared" si="3"/>
        <v>252</v>
      </c>
      <c r="EW36" s="44">
        <f t="shared" si="4"/>
        <v>304</v>
      </c>
      <c r="EX36" s="44">
        <f t="shared" si="5"/>
        <v>269</v>
      </c>
      <c r="EY36" s="44">
        <f t="shared" si="6"/>
        <v>179</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5"/>
        <v>263</v>
      </c>
      <c r="EV37" s="44">
        <f t="shared" si="3"/>
        <v>277</v>
      </c>
      <c r="EW37" s="44">
        <f t="shared" si="4"/>
        <v>277</v>
      </c>
      <c r="EX37" s="44">
        <f t="shared" si="5"/>
        <v>268</v>
      </c>
      <c r="EY37" s="44">
        <f t="shared" si="6"/>
        <v>201</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v>105</v>
      </c>
      <c r="DK38" s="115">
        <f>+DJ38</f>
        <v>105</v>
      </c>
      <c r="DL38" s="115">
        <f>+DK38</f>
        <v>105</v>
      </c>
      <c r="DM38" s="115">
        <f>+DL38</f>
        <v>105</v>
      </c>
      <c r="DN38" s="115">
        <f>+DM38</f>
        <v>105</v>
      </c>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61">+EP38</f>
        <v>188</v>
      </c>
      <c r="ER38" s="44">
        <f t="shared" si="61"/>
        <v>188</v>
      </c>
      <c r="ES38" s="44">
        <f t="shared" si="61"/>
        <v>188</v>
      </c>
      <c r="ET38" s="44">
        <f t="shared" si="61"/>
        <v>188</v>
      </c>
      <c r="EU38" s="44">
        <f t="shared" si="15"/>
        <v>287</v>
      </c>
      <c r="EV38" s="44">
        <f t="shared" si="3"/>
        <v>273</v>
      </c>
      <c r="EW38" s="44">
        <f t="shared" si="4"/>
        <v>266</v>
      </c>
      <c r="EX38" s="44">
        <f t="shared" si="5"/>
        <v>276</v>
      </c>
      <c r="EY38" s="44">
        <f t="shared" si="6"/>
        <v>252</v>
      </c>
      <c r="EZ38" s="44">
        <f t="shared" si="7"/>
        <v>105</v>
      </c>
      <c r="FA38" s="44">
        <f t="shared" si="8"/>
        <v>420</v>
      </c>
      <c r="FB38" s="44">
        <f t="shared" ref="EZ38:FK39" si="62">+FA38*0.9</f>
        <v>378</v>
      </c>
      <c r="FC38" s="44">
        <f t="shared" si="62"/>
        <v>340.2</v>
      </c>
      <c r="FD38" s="44">
        <f t="shared" si="62"/>
        <v>306.18</v>
      </c>
      <c r="FE38" s="44">
        <f t="shared" si="62"/>
        <v>275.56200000000001</v>
      </c>
      <c r="FF38" s="44">
        <f t="shared" si="62"/>
        <v>248.00580000000002</v>
      </c>
      <c r="FG38" s="44">
        <f t="shared" si="62"/>
        <v>223.20522000000003</v>
      </c>
      <c r="FH38" s="44">
        <f t="shared" si="62"/>
        <v>200.88469800000001</v>
      </c>
      <c r="FI38" s="44">
        <f t="shared" si="62"/>
        <v>180.79622820000003</v>
      </c>
      <c r="FJ38" s="44">
        <f t="shared" si="62"/>
        <v>162.71660538000003</v>
      </c>
      <c r="FK38" s="44">
        <f t="shared" si="62"/>
        <v>146.44494484200004</v>
      </c>
      <c r="FS38" s="82">
        <f>+EV38*0.5</f>
        <v>136.5</v>
      </c>
      <c r="FU38" s="14"/>
    </row>
    <row r="39" spans="2:177">
      <c r="B39" s="14" t="s">
        <v>1584</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v>8</v>
      </c>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 t="shared" si="7"/>
        <v>201</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5"/>
        <v>0</v>
      </c>
      <c r="EV40" s="44">
        <f t="shared" si="3"/>
        <v>50</v>
      </c>
      <c r="EW40" s="44">
        <f t="shared" si="4"/>
        <v>179</v>
      </c>
      <c r="EX40" s="44">
        <f t="shared" si="5"/>
        <v>270</v>
      </c>
      <c r="EY40" s="44">
        <f t="shared" si="6"/>
        <v>105</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5"/>
        <v>425</v>
      </c>
      <c r="EV41" s="44">
        <f t="shared" si="3"/>
        <v>369</v>
      </c>
      <c r="EW41" s="44">
        <f t="shared" si="4"/>
        <v>304</v>
      </c>
      <c r="EX41" s="44">
        <f t="shared" si="5"/>
        <v>240</v>
      </c>
      <c r="EY41" s="44">
        <f t="shared" si="6"/>
        <v>169</v>
      </c>
      <c r="EZ41" s="44"/>
      <c r="FA41" s="44"/>
      <c r="FB41" s="44"/>
      <c r="FC41" s="44"/>
      <c r="FD41" s="44"/>
      <c r="FE41" s="44"/>
      <c r="FF41" s="44"/>
      <c r="FG41" s="44"/>
      <c r="FH41" s="44"/>
      <c r="FI41" s="44"/>
      <c r="FJ41" s="44"/>
      <c r="FK41" s="44"/>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5"/>
        <v>346</v>
      </c>
      <c r="EV42" s="44">
        <f t="shared" si="3"/>
        <v>270</v>
      </c>
      <c r="EW42" s="44">
        <f t="shared" si="4"/>
        <v>266</v>
      </c>
      <c r="EX42" s="44">
        <f t="shared" ref="EX42:EX81" si="63">SUM(CY42:DB42)</f>
        <v>225</v>
      </c>
      <c r="EY42" s="44">
        <f t="shared" si="6"/>
        <v>136</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4">EP43*0.9</f>
        <v>0</v>
      </c>
      <c r="ER43" s="44">
        <f t="shared" si="64"/>
        <v>0</v>
      </c>
      <c r="ES43" s="44">
        <f t="shared" si="64"/>
        <v>0</v>
      </c>
      <c r="ET43" s="44">
        <f t="shared" si="64"/>
        <v>0</v>
      </c>
      <c r="EU43" s="44">
        <f t="shared" si="15"/>
        <v>0</v>
      </c>
      <c r="EV43" s="44">
        <f t="shared" si="3"/>
        <v>76</v>
      </c>
      <c r="EW43" s="44">
        <f t="shared" si="4"/>
        <v>212</v>
      </c>
      <c r="EX43" s="44">
        <f t="shared" si="63"/>
        <v>248</v>
      </c>
      <c r="EY43" s="44">
        <f t="shared" si="6"/>
        <v>224</v>
      </c>
      <c r="FQ43" s="81">
        <f>EL43*0.5</f>
        <v>241.5</v>
      </c>
      <c r="FR43" s="44">
        <f>EQ43*0.2</f>
        <v>0</v>
      </c>
      <c r="FS43" s="82">
        <f>EV43*0.1</f>
        <v>7.6000000000000005</v>
      </c>
      <c r="FU43" s="14" t="s">
        <v>714</v>
      </c>
    </row>
    <row r="44" spans="2:177">
      <c r="B44" s="14" t="s">
        <v>1621</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1622</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5">+EQ46*0.9</f>
        <v>233.28</v>
      </c>
      <c r="ES46" s="44">
        <f t="shared" si="65"/>
        <v>209.952</v>
      </c>
      <c r="ET46" s="44">
        <f t="shared" si="65"/>
        <v>188.95680000000002</v>
      </c>
      <c r="EU46" s="44">
        <f t="shared" si="15"/>
        <v>250</v>
      </c>
      <c r="EV46" s="44">
        <f t="shared" si="3"/>
        <v>252</v>
      </c>
      <c r="EW46" s="44">
        <f t="shared" si="4"/>
        <v>239</v>
      </c>
      <c r="EX46" s="44">
        <f t="shared" si="63"/>
        <v>145</v>
      </c>
      <c r="EY46" s="44">
        <f t="shared" si="6"/>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5"/>
        <v>0</v>
      </c>
      <c r="EV47" s="44">
        <f t="shared" si="3"/>
        <v>36</v>
      </c>
      <c r="EW47" s="44">
        <f t="shared" si="4"/>
        <v>152</v>
      </c>
      <c r="EX47" s="44">
        <f t="shared" si="63"/>
        <v>203</v>
      </c>
      <c r="EY47" s="44">
        <f t="shared" si="6"/>
        <v>56</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5"/>
        <v>0</v>
      </c>
      <c r="EV48" s="44">
        <f t="shared" si="3"/>
        <v>92</v>
      </c>
      <c r="EW48" s="44">
        <f t="shared" si="4"/>
        <v>192</v>
      </c>
      <c r="EX48" s="44">
        <f t="shared" si="63"/>
        <v>219</v>
      </c>
      <c r="EY48" s="44">
        <f t="shared" si="6"/>
        <v>178</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v>170</v>
      </c>
      <c r="DK49" s="115">
        <f>+DJ49+5</f>
        <v>175</v>
      </c>
      <c r="DL49" s="115">
        <f t="shared" ref="DL49:DN49" si="66">+DK49+5</f>
        <v>180</v>
      </c>
      <c r="DM49" s="115">
        <f t="shared" si="66"/>
        <v>185</v>
      </c>
      <c r="DN49" s="115">
        <f t="shared" si="66"/>
        <v>190</v>
      </c>
      <c r="DO49" s="115"/>
      <c r="DP49" s="44"/>
      <c r="DQ49" s="44"/>
      <c r="DU49" s="68"/>
      <c r="DV49" s="68"/>
      <c r="DW49" s="68"/>
      <c r="DX49" s="68"/>
      <c r="DY49" s="68"/>
      <c r="DZ49" s="68"/>
      <c r="EA49" s="68"/>
      <c r="EB49" s="68"/>
      <c r="EC49" s="68"/>
      <c r="ED49" s="68"/>
      <c r="EF49" s="44"/>
      <c r="EG49" s="44"/>
      <c r="EH49" s="44"/>
      <c r="EI49" s="44"/>
      <c r="EJ49" s="44"/>
      <c r="EK49" s="65"/>
      <c r="EU49" s="44">
        <f t="shared" si="15"/>
        <v>30</v>
      </c>
      <c r="EV49" s="44">
        <f t="shared" si="3"/>
        <v>160</v>
      </c>
      <c r="EW49" s="44">
        <f t="shared" si="4"/>
        <v>187</v>
      </c>
      <c r="EX49" s="44">
        <f t="shared" si="63"/>
        <v>194</v>
      </c>
      <c r="EY49" s="44">
        <f t="shared" si="6"/>
        <v>266</v>
      </c>
      <c r="EZ49" s="44">
        <f t="shared" si="7"/>
        <v>607</v>
      </c>
      <c r="FA49" s="44">
        <f t="shared" si="8"/>
        <v>730</v>
      </c>
      <c r="FB49" s="44">
        <f t="shared" ref="EZ49:FK49" si="67">+FA49*0.9</f>
        <v>657</v>
      </c>
      <c r="FC49" s="44">
        <f t="shared" si="67"/>
        <v>591.30000000000007</v>
      </c>
      <c r="FD49" s="44">
        <f t="shared" si="67"/>
        <v>532.17000000000007</v>
      </c>
      <c r="FE49" s="44">
        <f t="shared" si="67"/>
        <v>478.95300000000009</v>
      </c>
      <c r="FF49" s="44">
        <f t="shared" si="67"/>
        <v>431.05770000000007</v>
      </c>
      <c r="FG49" s="44">
        <f t="shared" si="67"/>
        <v>387.95193000000006</v>
      </c>
      <c r="FH49" s="44">
        <f t="shared" si="67"/>
        <v>349.15673700000008</v>
      </c>
      <c r="FI49" s="44">
        <f t="shared" si="67"/>
        <v>314.24106330000006</v>
      </c>
      <c r="FJ49" s="44">
        <f t="shared" si="67"/>
        <v>282.81695697000009</v>
      </c>
      <c r="FK49" s="44">
        <f t="shared" si="67"/>
        <v>254.53526127300009</v>
      </c>
      <c r="FU49" s="14"/>
    </row>
    <row r="50" spans="1:184">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v>34</v>
      </c>
      <c r="DK50" s="115">
        <f>+DJ50</f>
        <v>34</v>
      </c>
      <c r="DL50" s="115">
        <f t="shared" ref="DL50:DN50" si="68">+DK50</f>
        <v>34</v>
      </c>
      <c r="DM50" s="115">
        <f t="shared" si="68"/>
        <v>34</v>
      </c>
      <c r="DN50" s="115">
        <f t="shared" si="68"/>
        <v>34</v>
      </c>
      <c r="DO50" s="115"/>
      <c r="DP50" s="44"/>
      <c r="DQ50" s="44"/>
      <c r="DU50" s="68"/>
      <c r="DV50" s="68"/>
      <c r="DW50" s="68"/>
      <c r="DX50" s="68"/>
      <c r="DY50" s="68"/>
      <c r="DZ50" s="68"/>
      <c r="EA50" s="68"/>
      <c r="EB50" s="68"/>
      <c r="EC50" s="68"/>
      <c r="ED50" s="44"/>
      <c r="EE50" s="44"/>
      <c r="EF50" s="44"/>
      <c r="EG50" s="44"/>
      <c r="EH50" s="44"/>
      <c r="EI50" s="44"/>
      <c r="EJ50" s="44"/>
      <c r="EK50" s="65"/>
      <c r="EU50" s="44">
        <f t="shared" si="15"/>
        <v>87</v>
      </c>
      <c r="EV50" s="44">
        <f t="shared" si="3"/>
        <v>104</v>
      </c>
      <c r="EW50" s="44">
        <f t="shared" si="4"/>
        <v>185</v>
      </c>
      <c r="EX50" s="44">
        <f t="shared" si="63"/>
        <v>200</v>
      </c>
      <c r="EY50" s="44">
        <f t="shared" si="6"/>
        <v>222</v>
      </c>
      <c r="EZ50" s="44">
        <f t="shared" si="7"/>
        <v>215</v>
      </c>
      <c r="FA50" s="44">
        <f t="shared" si="8"/>
        <v>136</v>
      </c>
      <c r="FB50" s="44">
        <f t="shared" ref="FA50:FK50" si="69">+FA50*0.95</f>
        <v>129.19999999999999</v>
      </c>
      <c r="FC50" s="44">
        <f t="shared" si="69"/>
        <v>122.73999999999998</v>
      </c>
      <c r="FD50" s="44">
        <f t="shared" si="69"/>
        <v>116.60299999999998</v>
      </c>
      <c r="FE50" s="44">
        <f t="shared" si="69"/>
        <v>110.77284999999998</v>
      </c>
      <c r="FF50" s="44">
        <f t="shared" si="69"/>
        <v>105.23420749999997</v>
      </c>
      <c r="FG50" s="44">
        <f t="shared" si="69"/>
        <v>99.972497124999961</v>
      </c>
      <c r="FH50" s="44">
        <f t="shared" si="69"/>
        <v>94.973872268749957</v>
      </c>
      <c r="FI50" s="44">
        <f t="shared" si="69"/>
        <v>90.225178655312462</v>
      </c>
      <c r="FJ50" s="44">
        <f t="shared" si="69"/>
        <v>85.713919722546834</v>
      </c>
      <c r="FK50" s="44">
        <f t="shared" si="69"/>
        <v>81.428223736419483</v>
      </c>
      <c r="FR50" s="85"/>
      <c r="FS50" s="86"/>
    </row>
    <row r="51" spans="1:184">
      <c r="B51" s="14" t="s">
        <v>1617</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v>27</v>
      </c>
      <c r="DK51" s="115">
        <f t="shared" ref="DK51:DN51" si="70">+DJ51</f>
        <v>27</v>
      </c>
      <c r="DL51" s="115">
        <f t="shared" si="70"/>
        <v>27</v>
      </c>
      <c r="DM51" s="115">
        <f t="shared" si="70"/>
        <v>27</v>
      </c>
      <c r="DN51" s="115">
        <f t="shared" si="70"/>
        <v>27</v>
      </c>
      <c r="DO51" s="115"/>
      <c r="DP51" s="44"/>
      <c r="DQ51" s="44"/>
      <c r="DU51" s="68"/>
      <c r="DV51" s="68"/>
      <c r="DW51" s="68"/>
      <c r="DX51" s="68"/>
      <c r="DY51" s="68"/>
      <c r="DZ51" s="68"/>
      <c r="EA51" s="68"/>
      <c r="EB51" s="68"/>
      <c r="EC51" s="68"/>
      <c r="ED51" s="44"/>
      <c r="EE51" s="44"/>
      <c r="EF51" s="44"/>
      <c r="EG51" s="44"/>
      <c r="EH51" s="44"/>
      <c r="EI51" s="44"/>
      <c r="EJ51" s="44"/>
      <c r="EK51" s="65"/>
      <c r="EZ51" s="44">
        <f t="shared" si="7"/>
        <v>118</v>
      </c>
      <c r="FA51" s="44">
        <f t="shared" si="8"/>
        <v>108</v>
      </c>
      <c r="FB51" s="44">
        <f>+FA51*0.9</f>
        <v>97.2</v>
      </c>
      <c r="FC51" s="44">
        <f t="shared" ref="FC51:FK51" si="71">+FB51*0.9</f>
        <v>87.48</v>
      </c>
      <c r="FD51" s="44">
        <f t="shared" si="71"/>
        <v>78.731999999999999</v>
      </c>
      <c r="FE51" s="44">
        <f t="shared" si="71"/>
        <v>70.858800000000002</v>
      </c>
      <c r="FF51" s="44">
        <f t="shared" si="71"/>
        <v>63.772920000000006</v>
      </c>
      <c r="FG51" s="44">
        <f t="shared" si="71"/>
        <v>57.395628000000009</v>
      </c>
      <c r="FH51" s="44">
        <f t="shared" si="71"/>
        <v>51.656065200000008</v>
      </c>
      <c r="FI51" s="44">
        <f t="shared" si="71"/>
        <v>46.49045868000001</v>
      </c>
      <c r="FJ51" s="44">
        <f t="shared" si="71"/>
        <v>41.841412812000009</v>
      </c>
      <c r="FK51" s="44">
        <f t="shared" si="71"/>
        <v>37.65727153080001</v>
      </c>
      <c r="FR51" s="85"/>
      <c r="FS51" s="86"/>
    </row>
    <row r="52" spans="1:184">
      <c r="B52" s="14" t="s">
        <v>1618</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v>129</v>
      </c>
      <c r="DK52" s="115">
        <f>+DG52*1.1</f>
        <v>116.60000000000001</v>
      </c>
      <c r="DL52" s="115">
        <f>+DH52*1.1</f>
        <v>133.10000000000002</v>
      </c>
      <c r="DM52" s="115">
        <f>+DI52*1.1</f>
        <v>136.4</v>
      </c>
      <c r="DN52" s="115">
        <f>+DJ52*1.1</f>
        <v>141.9</v>
      </c>
      <c r="DO52" s="115"/>
      <c r="DP52" s="44"/>
      <c r="DQ52" s="44"/>
      <c r="DU52" s="68"/>
      <c r="DV52" s="68"/>
      <c r="DW52" s="68"/>
      <c r="DX52" s="68"/>
      <c r="DY52" s="68"/>
      <c r="DZ52" s="68"/>
      <c r="EA52" s="68"/>
      <c r="EB52" s="68"/>
      <c r="EC52" s="68"/>
      <c r="ED52" s="44"/>
      <c r="EE52" s="44"/>
      <c r="EF52" s="44"/>
      <c r="EG52" s="44"/>
      <c r="EH52" s="44"/>
      <c r="EI52" s="44"/>
      <c r="EJ52" s="44"/>
      <c r="EK52" s="65"/>
      <c r="EZ52" s="44">
        <f t="shared" si="7"/>
        <v>480</v>
      </c>
      <c r="FA52" s="44">
        <f t="shared" si="8"/>
        <v>528</v>
      </c>
      <c r="FB52" s="44">
        <f>+FA52*1.05</f>
        <v>554.4</v>
      </c>
      <c r="FC52" s="44">
        <f t="shared" ref="FC52:FK52" si="72">+FB52*1.05</f>
        <v>582.12</v>
      </c>
      <c r="FD52" s="44">
        <f t="shared" si="72"/>
        <v>611.226</v>
      </c>
      <c r="FE52" s="44">
        <f t="shared" si="72"/>
        <v>641.78730000000007</v>
      </c>
      <c r="FF52" s="44">
        <f t="shared" si="72"/>
        <v>673.87666500000012</v>
      </c>
      <c r="FG52" s="44">
        <f t="shared" si="72"/>
        <v>707.57049825000013</v>
      </c>
      <c r="FH52" s="44">
        <f t="shared" si="72"/>
        <v>742.94902316250011</v>
      </c>
      <c r="FI52" s="44">
        <f t="shared" si="72"/>
        <v>780.09647432062513</v>
      </c>
      <c r="FJ52" s="44">
        <f t="shared" si="72"/>
        <v>819.10129803665643</v>
      </c>
      <c r="FK52" s="44">
        <f t="shared" si="72"/>
        <v>860.05636293848931</v>
      </c>
      <c r="FR52" s="85"/>
      <c r="FS52" s="86"/>
    </row>
    <row r="53" spans="1:184">
      <c r="B53" s="14" t="s">
        <v>1619</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v>36</v>
      </c>
      <c r="DK53" s="115">
        <f>+DJ53+2</f>
        <v>38</v>
      </c>
      <c r="DL53" s="115">
        <f>+DK53+2</f>
        <v>40</v>
      </c>
      <c r="DM53" s="115">
        <f>+DL53+2</f>
        <v>42</v>
      </c>
      <c r="DN53" s="115">
        <f>+DM53+2</f>
        <v>44</v>
      </c>
      <c r="DO53" s="115"/>
      <c r="DP53" s="44"/>
      <c r="DQ53" s="44"/>
      <c r="DU53" s="68"/>
      <c r="DV53" s="68"/>
      <c r="DW53" s="68"/>
      <c r="DX53" s="68"/>
      <c r="DY53" s="68"/>
      <c r="DZ53" s="68"/>
      <c r="EA53" s="68"/>
      <c r="EB53" s="68"/>
      <c r="EC53" s="68"/>
      <c r="ED53" s="44"/>
      <c r="EE53" s="44"/>
      <c r="EF53" s="44"/>
      <c r="EG53" s="44"/>
      <c r="EH53" s="44"/>
      <c r="EI53" s="44"/>
      <c r="EJ53" s="44"/>
      <c r="EK53" s="65"/>
      <c r="EZ53" s="44">
        <f t="shared" si="7"/>
        <v>131</v>
      </c>
      <c r="FA53" s="44">
        <f t="shared" si="8"/>
        <v>164</v>
      </c>
      <c r="FB53" s="44">
        <f t="shared" ref="FB53:FK53" si="73">+FA53*1.05</f>
        <v>172.20000000000002</v>
      </c>
      <c r="FC53" s="44">
        <f t="shared" si="73"/>
        <v>180.81000000000003</v>
      </c>
      <c r="FD53" s="44">
        <f t="shared" si="73"/>
        <v>189.85050000000004</v>
      </c>
      <c r="FE53" s="44">
        <f t="shared" si="73"/>
        <v>199.34302500000004</v>
      </c>
      <c r="FF53" s="44">
        <f t="shared" si="73"/>
        <v>209.31017625000004</v>
      </c>
      <c r="FG53" s="44">
        <f t="shared" si="73"/>
        <v>219.77568506250006</v>
      </c>
      <c r="FH53" s="44">
        <f t="shared" si="73"/>
        <v>230.76446931562506</v>
      </c>
      <c r="FI53" s="44">
        <f t="shared" si="73"/>
        <v>242.30269278140634</v>
      </c>
      <c r="FJ53" s="44">
        <f t="shared" si="73"/>
        <v>254.41782742047667</v>
      </c>
      <c r="FK53" s="44">
        <f t="shared" si="73"/>
        <v>267.13871879150054</v>
      </c>
      <c r="FR53" s="85"/>
      <c r="FS53" s="86"/>
    </row>
    <row r="54" spans="1:184">
      <c r="B54" s="14" t="s">
        <v>1684</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c r="CL54" s="44"/>
      <c r="CM54" s="44"/>
      <c r="CN54" s="115"/>
      <c r="CO54" s="115"/>
      <c r="CP54" s="115"/>
      <c r="CQ54" s="115"/>
      <c r="CR54" s="115"/>
      <c r="CS54" s="115"/>
      <c r="CT54" s="115"/>
      <c r="CU54" s="115"/>
      <c r="CV54" s="115"/>
      <c r="CW54" s="115"/>
      <c r="CX54" s="115"/>
      <c r="CY54" s="115"/>
      <c r="CZ54" s="115"/>
      <c r="DA54" s="115"/>
      <c r="DB54" s="115"/>
      <c r="DC54" s="115"/>
      <c r="DD54" s="115"/>
      <c r="DE54" s="115"/>
      <c r="DF54" s="206" t="s">
        <v>1683</v>
      </c>
      <c r="DG54" s="115"/>
      <c r="DH54" s="115"/>
      <c r="DI54" s="115"/>
      <c r="DJ54" s="115">
        <v>57</v>
      </c>
      <c r="DK54" s="115">
        <f>+DJ54+2</f>
        <v>59</v>
      </c>
      <c r="DL54" s="115">
        <f>+DK54+2</f>
        <v>61</v>
      </c>
      <c r="DM54" s="115">
        <f>+DL54+2</f>
        <v>63</v>
      </c>
      <c r="DN54" s="115">
        <f>+DM54+2</f>
        <v>65</v>
      </c>
      <c r="DO54" s="115"/>
      <c r="DP54" s="44"/>
      <c r="DQ54" s="44"/>
      <c r="DU54" s="68"/>
      <c r="DV54" s="68"/>
      <c r="DW54" s="68"/>
      <c r="DX54" s="68"/>
      <c r="DY54" s="68"/>
      <c r="DZ54" s="68"/>
      <c r="EA54" s="68"/>
      <c r="EB54" s="68"/>
      <c r="EC54" s="68"/>
      <c r="ED54" s="44"/>
      <c r="EE54" s="44"/>
      <c r="EF54" s="44"/>
      <c r="EG54" s="44"/>
      <c r="EH54" s="44"/>
      <c r="EI54" s="44"/>
      <c r="EJ54" s="44"/>
      <c r="EK54" s="65"/>
      <c r="EZ54" s="44">
        <f t="shared" si="7"/>
        <v>57</v>
      </c>
      <c r="FA54" s="44">
        <f t="shared" si="8"/>
        <v>248</v>
      </c>
      <c r="FB54" s="44">
        <f t="shared" ref="FB54:FK54" si="74">+FA54*1.05</f>
        <v>260.40000000000003</v>
      </c>
      <c r="FC54" s="44">
        <f t="shared" si="74"/>
        <v>273.42000000000007</v>
      </c>
      <c r="FD54" s="44">
        <f t="shared" si="74"/>
        <v>287.09100000000007</v>
      </c>
      <c r="FE54" s="44">
        <f t="shared" si="74"/>
        <v>301.44555000000008</v>
      </c>
      <c r="FF54" s="44">
        <f t="shared" si="74"/>
        <v>316.51782750000012</v>
      </c>
      <c r="FG54" s="44">
        <f t="shared" si="74"/>
        <v>332.34371887500015</v>
      </c>
      <c r="FH54" s="44">
        <f t="shared" si="74"/>
        <v>348.96090481875018</v>
      </c>
      <c r="FI54" s="44">
        <f t="shared" si="74"/>
        <v>366.4089500596877</v>
      </c>
      <c r="FJ54" s="44">
        <f t="shared" si="74"/>
        <v>384.72939756267209</v>
      </c>
      <c r="FK54" s="44">
        <f t="shared" si="74"/>
        <v>403.96586744080571</v>
      </c>
      <c r="FR54" s="85"/>
      <c r="FS54" s="86"/>
    </row>
    <row r="55" spans="1:184">
      <c r="B55" s="14" t="s">
        <v>1372</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196"/>
      <c r="BL55" s="196"/>
      <c r="BM55" s="196"/>
      <c r="BN55" s="196"/>
      <c r="BO55" s="196"/>
      <c r="BP55" s="196"/>
      <c r="BQ55" s="196"/>
      <c r="BR55" s="196"/>
      <c r="BS55" s="196"/>
      <c r="BT55" s="196"/>
      <c r="BU55" s="196"/>
      <c r="BV55" s="196"/>
      <c r="BW55" s="196"/>
      <c r="BX55" s="196"/>
      <c r="BY55" s="196"/>
      <c r="BZ55" s="196"/>
      <c r="CA55" s="196"/>
      <c r="CB55" s="196"/>
      <c r="CC55" s="196"/>
      <c r="CD55" s="196"/>
      <c r="CE55" s="196"/>
      <c r="CF55" s="196"/>
      <c r="CG55" s="44"/>
      <c r="CH55" s="44"/>
      <c r="CI55" s="44"/>
      <c r="CJ55" s="44"/>
      <c r="CK55" s="44">
        <v>0</v>
      </c>
      <c r="CL55" s="44">
        <v>0</v>
      </c>
      <c r="CM55" s="44">
        <v>0</v>
      </c>
      <c r="CN55" s="115">
        <v>0</v>
      </c>
      <c r="CO55" s="115">
        <v>0</v>
      </c>
      <c r="CP55" s="115">
        <v>30</v>
      </c>
      <c r="CQ55" s="115">
        <v>37</v>
      </c>
      <c r="CR55" s="115">
        <v>32</v>
      </c>
      <c r="CS55" s="115">
        <v>34</v>
      </c>
      <c r="CT55" s="115">
        <v>39</v>
      </c>
      <c r="CU55" s="115">
        <v>35</v>
      </c>
      <c r="CV55" s="115">
        <v>36</v>
      </c>
      <c r="CW55" s="115">
        <v>41</v>
      </c>
      <c r="CX55" s="115">
        <v>42</v>
      </c>
      <c r="CY55" s="115">
        <v>40</v>
      </c>
      <c r="CZ55" s="115">
        <v>44</v>
      </c>
      <c r="DA55" s="115">
        <v>45</v>
      </c>
      <c r="DB55" s="115">
        <v>46</v>
      </c>
      <c r="DC55" s="115"/>
      <c r="DD55" s="115">
        <v>43</v>
      </c>
      <c r="DE55" s="115">
        <v>45</v>
      </c>
      <c r="DF55" s="115">
        <v>46</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5"/>
        <v>30</v>
      </c>
      <c r="EV55" s="44">
        <f t="shared" si="3"/>
        <v>142</v>
      </c>
      <c r="EW55" s="44">
        <f t="shared" si="4"/>
        <v>154</v>
      </c>
      <c r="EX55" s="44">
        <f t="shared" si="63"/>
        <v>175</v>
      </c>
      <c r="EY55" s="44">
        <f t="shared" si="6"/>
        <v>134</v>
      </c>
      <c r="FR55" s="85"/>
      <c r="FS55" s="86"/>
    </row>
    <row r="56" spans="1:184">
      <c r="B56" s="14" t="s">
        <v>1380</v>
      </c>
      <c r="C56" s="62"/>
      <c r="D56" s="62"/>
      <c r="E56" s="62"/>
      <c r="F56" s="62"/>
      <c r="G56" s="62"/>
      <c r="H56" s="62"/>
      <c r="I56" s="62"/>
      <c r="J56" s="62"/>
      <c r="K56" s="62"/>
      <c r="L56" s="62"/>
      <c r="M56" s="62"/>
      <c r="N56" s="62"/>
      <c r="O56" s="62"/>
      <c r="P56" s="62"/>
      <c r="Q56" s="62"/>
      <c r="R56" s="62"/>
      <c r="S56" s="62"/>
      <c r="T56" s="62"/>
      <c r="U56" s="62"/>
      <c r="V56" s="62"/>
      <c r="W56" s="68"/>
      <c r="X56" s="68"/>
      <c r="Y56" s="68"/>
      <c r="Z56" s="68"/>
      <c r="AA56" s="44"/>
      <c r="AB56" s="44"/>
      <c r="AC56" s="44"/>
      <c r="AD56" s="44"/>
      <c r="AE56" s="44"/>
      <c r="AF56" s="44"/>
      <c r="AG56" s="44"/>
      <c r="AH56" s="44"/>
      <c r="AI56" s="68"/>
      <c r="AM56" s="69"/>
      <c r="AN56" s="69"/>
      <c r="AO56" s="69"/>
      <c r="AP56" s="103"/>
      <c r="AQ56" s="65"/>
      <c r="AR56" s="65"/>
      <c r="AS56" s="65"/>
      <c r="AT56" s="65"/>
      <c r="AU56" s="44"/>
      <c r="AV56" s="65"/>
      <c r="AW56" s="44"/>
      <c r="AX56" s="44"/>
      <c r="AY56" s="44"/>
      <c r="AZ56" s="44"/>
      <c r="BA56" s="44"/>
      <c r="BB56" s="44"/>
      <c r="BC56" s="65"/>
      <c r="BD56" s="44"/>
      <c r="BE56" s="44"/>
      <c r="BF56" s="65"/>
      <c r="BG56" s="44"/>
      <c r="BH56" s="65"/>
      <c r="BI56" s="44"/>
      <c r="BJ56" s="65"/>
      <c r="BK56" s="65"/>
      <c r="BL56" s="44"/>
      <c r="BM56" s="44"/>
      <c r="BN56" s="44"/>
      <c r="BO56" s="44"/>
      <c r="BP56" s="44"/>
      <c r="BQ56" s="44"/>
      <c r="BR56" s="44"/>
      <c r="BS56" s="115"/>
      <c r="BT56" s="44"/>
      <c r="BU56" s="44"/>
      <c r="BV56" s="44"/>
      <c r="BW56" s="115"/>
      <c r="BX56" s="115"/>
      <c r="BY56" s="115"/>
      <c r="BZ56" s="44"/>
      <c r="CA56" s="44"/>
      <c r="CB56" s="44"/>
      <c r="CC56" s="44"/>
      <c r="CD56" s="44"/>
      <c r="CE56" s="44"/>
      <c r="CF56" s="44"/>
      <c r="CG56" s="44"/>
      <c r="CH56" s="44"/>
      <c r="CI56" s="44"/>
      <c r="CJ56" s="44"/>
      <c r="CK56" s="44">
        <v>61</v>
      </c>
      <c r="CL56" s="44">
        <v>0</v>
      </c>
      <c r="CM56" s="44">
        <v>0</v>
      </c>
      <c r="CN56" s="115">
        <v>0</v>
      </c>
      <c r="CO56" s="115">
        <v>73</v>
      </c>
      <c r="CP56" s="115">
        <v>0</v>
      </c>
      <c r="CQ56" s="115">
        <v>0</v>
      </c>
      <c r="CR56" s="115">
        <v>0</v>
      </c>
      <c r="CS56" s="115">
        <v>48</v>
      </c>
      <c r="CT56" s="115">
        <v>26</v>
      </c>
      <c r="CU56" s="115">
        <v>0</v>
      </c>
      <c r="CV56" s="115">
        <v>0</v>
      </c>
      <c r="CW56" s="115">
        <v>52</v>
      </c>
      <c r="CX56" s="115">
        <v>16</v>
      </c>
      <c r="CY56" s="115">
        <v>0</v>
      </c>
      <c r="CZ56" s="115">
        <v>0</v>
      </c>
      <c r="DA56" s="115">
        <v>60</v>
      </c>
      <c r="DB56" s="115">
        <v>15</v>
      </c>
      <c r="DC56" s="115"/>
      <c r="DD56" s="115"/>
      <c r="DE56" s="115">
        <v>58</v>
      </c>
      <c r="DF56" s="115">
        <v>17</v>
      </c>
      <c r="DG56" s="115"/>
      <c r="DH56" s="115"/>
      <c r="DI56" s="115"/>
      <c r="DJ56" s="115"/>
      <c r="DK56" s="115"/>
      <c r="DL56" s="115"/>
      <c r="DM56" s="115"/>
      <c r="DN56" s="115"/>
      <c r="DO56" s="115"/>
      <c r="DP56" s="44"/>
      <c r="DQ56" s="44"/>
      <c r="DU56" s="68"/>
      <c r="DV56" s="68"/>
      <c r="DW56" s="68"/>
      <c r="DX56" s="68"/>
      <c r="DY56" s="68"/>
      <c r="DZ56" s="68"/>
      <c r="EA56" s="68"/>
      <c r="EB56" s="68"/>
      <c r="EC56" s="68"/>
      <c r="ED56" s="44"/>
      <c r="EE56" s="44"/>
      <c r="EF56" s="44"/>
      <c r="EG56" s="44"/>
      <c r="EH56" s="44"/>
      <c r="EI56" s="44"/>
      <c r="EJ56" s="44"/>
      <c r="EK56" s="65"/>
      <c r="EU56" s="44">
        <f t="shared" si="15"/>
        <v>73</v>
      </c>
      <c r="EV56" s="44">
        <f t="shared" si="3"/>
        <v>74</v>
      </c>
      <c r="EW56" s="44">
        <f t="shared" si="4"/>
        <v>68</v>
      </c>
      <c r="EX56" s="44">
        <f t="shared" si="63"/>
        <v>75</v>
      </c>
      <c r="EY56" s="44">
        <f t="shared" si="6"/>
        <v>75</v>
      </c>
      <c r="FR56" s="85"/>
      <c r="FS56" s="86"/>
    </row>
    <row r="57" spans="1:184">
      <c r="B57" s="4" t="s">
        <v>681</v>
      </c>
      <c r="C57" s="62"/>
      <c r="D57" s="62"/>
      <c r="E57" s="62"/>
      <c r="F57" s="62"/>
      <c r="G57" s="62" t="s">
        <v>605</v>
      </c>
      <c r="H57" s="62" t="s">
        <v>605</v>
      </c>
      <c r="I57" s="62" t="s">
        <v>605</v>
      </c>
      <c r="J57" s="62" t="s">
        <v>605</v>
      </c>
      <c r="K57" s="62" t="s">
        <v>605</v>
      </c>
      <c r="L57" s="62" t="s">
        <v>605</v>
      </c>
      <c r="M57" s="62" t="s">
        <v>605</v>
      </c>
      <c r="N57" s="62" t="s">
        <v>605</v>
      </c>
      <c r="O57" s="62" t="s">
        <v>605</v>
      </c>
      <c r="P57" s="62" t="s">
        <v>605</v>
      </c>
      <c r="Q57" s="62" t="s">
        <v>605</v>
      </c>
      <c r="R57" s="62" t="s">
        <v>605</v>
      </c>
      <c r="S57" s="62" t="s">
        <v>605</v>
      </c>
      <c r="T57" s="62" t="s">
        <v>605</v>
      </c>
      <c r="U57" s="62" t="s">
        <v>605</v>
      </c>
      <c r="V57" s="62" t="s">
        <v>605</v>
      </c>
      <c r="W57" s="62" t="s">
        <v>605</v>
      </c>
      <c r="X57" s="62" t="s">
        <v>605</v>
      </c>
      <c r="Y57" s="62" t="s">
        <v>605</v>
      </c>
      <c r="Z57" s="62" t="s">
        <v>605</v>
      </c>
      <c r="AA57" s="62" t="s">
        <v>605</v>
      </c>
      <c r="AB57" s="62" t="s">
        <v>605</v>
      </c>
      <c r="AC57" s="62" t="s">
        <v>605</v>
      </c>
      <c r="AD57" s="62" t="s">
        <v>605</v>
      </c>
      <c r="AE57" s="68" t="s">
        <v>605</v>
      </c>
      <c r="AF57" s="68" t="s">
        <v>605</v>
      </c>
      <c r="AG57" s="68" t="s">
        <v>605</v>
      </c>
      <c r="AH57" s="68" t="s">
        <v>605</v>
      </c>
      <c r="AI57" s="68" t="s">
        <v>605</v>
      </c>
      <c r="AJ57" s="68" t="s">
        <v>605</v>
      </c>
      <c r="AK57" s="68" t="s">
        <v>605</v>
      </c>
      <c r="AL57" s="70" t="s">
        <v>605</v>
      </c>
      <c r="AM57" s="70" t="s">
        <v>605</v>
      </c>
      <c r="AN57" s="69">
        <v>0</v>
      </c>
      <c r="AO57" s="69">
        <v>33</v>
      </c>
      <c r="AP57" s="103">
        <v>68</v>
      </c>
      <c r="AQ57" s="65">
        <v>162</v>
      </c>
      <c r="AR57" s="65">
        <v>200</v>
      </c>
      <c r="AS57" s="65">
        <v>241</v>
      </c>
      <c r="AT57" s="65">
        <v>280</v>
      </c>
      <c r="AU57" s="44">
        <f>193+84</f>
        <v>277</v>
      </c>
      <c r="AV57" s="65">
        <f>109+98</f>
        <v>207</v>
      </c>
      <c r="AW57" s="44">
        <v>182</v>
      </c>
      <c r="AX57" s="65">
        <v>180</v>
      </c>
      <c r="AY57" s="65">
        <v>177</v>
      </c>
      <c r="AZ57" s="44">
        <v>192</v>
      </c>
      <c r="BA57" s="44">
        <v>155</v>
      </c>
      <c r="BB57" s="44">
        <v>176</v>
      </c>
      <c r="BC57" s="65">
        <f>106+83</f>
        <v>189</v>
      </c>
      <c r="BD57" s="44">
        <v>170</v>
      </c>
      <c r="BE57" s="44">
        <v>163</v>
      </c>
      <c r="BF57" s="65">
        <v>233</v>
      </c>
      <c r="BG57" s="44">
        <v>199</v>
      </c>
      <c r="BH57" s="65">
        <v>190</v>
      </c>
      <c r="BI57" s="44">
        <v>156</v>
      </c>
      <c r="BJ57" s="65">
        <v>175</v>
      </c>
      <c r="BK57" s="65">
        <v>178</v>
      </c>
      <c r="BL57" s="44">
        <v>172</v>
      </c>
      <c r="BM57" s="44">
        <v>146</v>
      </c>
      <c r="BN57" s="44">
        <v>174</v>
      </c>
      <c r="BO57" s="44">
        <v>166</v>
      </c>
      <c r="BP57" s="44">
        <v>166</v>
      </c>
      <c r="BQ57" s="44">
        <v>154</v>
      </c>
      <c r="BR57" s="44">
        <v>162</v>
      </c>
      <c r="BS57" s="115">
        <v>147</v>
      </c>
      <c r="BT57" s="44">
        <v>170</v>
      </c>
      <c r="BU57" s="44">
        <v>158</v>
      </c>
      <c r="BV57" s="44">
        <v>172</v>
      </c>
      <c r="BW57" s="115">
        <v>158</v>
      </c>
      <c r="BX57" s="115">
        <v>173</v>
      </c>
      <c r="BY57" s="115">
        <v>159</v>
      </c>
      <c r="BZ57" s="44">
        <v>180</v>
      </c>
      <c r="CA57" s="44">
        <v>220</v>
      </c>
      <c r="CB57" s="44">
        <v>213</v>
      </c>
      <c r="CC57" s="44">
        <v>198</v>
      </c>
      <c r="CD57" s="44">
        <v>211</v>
      </c>
      <c r="CE57" s="44">
        <v>239</v>
      </c>
      <c r="CF57" s="44">
        <v>248</v>
      </c>
      <c r="CG57" s="44">
        <v>240</v>
      </c>
      <c r="CH57" s="44">
        <v>271</v>
      </c>
      <c r="CI57" s="44">
        <v>251</v>
      </c>
      <c r="CJ57" s="44">
        <v>277</v>
      </c>
      <c r="CK57" s="44">
        <v>261</v>
      </c>
      <c r="CL57" s="44">
        <v>296</v>
      </c>
      <c r="CM57" s="44">
        <v>273</v>
      </c>
      <c r="CN57" s="115">
        <v>276</v>
      </c>
      <c r="CO57" s="115">
        <v>276</v>
      </c>
      <c r="CP57" s="115">
        <v>282</v>
      </c>
      <c r="CQ57" s="115">
        <v>270</v>
      </c>
      <c r="CR57" s="115">
        <v>235</v>
      </c>
      <c r="CS57" s="115">
        <v>223</v>
      </c>
      <c r="CT57" s="115">
        <v>191</v>
      </c>
      <c r="CU57" s="115">
        <v>217</v>
      </c>
      <c r="CV57" s="115">
        <v>184</v>
      </c>
      <c r="CW57" s="115">
        <v>7</v>
      </c>
      <c r="CX57" s="115">
        <v>-11</v>
      </c>
      <c r="CY57" s="115">
        <v>2</v>
      </c>
      <c r="CZ57" s="115">
        <v>1</v>
      </c>
      <c r="DA57" s="115">
        <v>4</v>
      </c>
      <c r="DB57" s="115">
        <v>0</v>
      </c>
      <c r="DC57" s="115"/>
      <c r="DD57" s="115"/>
      <c r="DE57" s="115">
        <v>0</v>
      </c>
      <c r="DF57" s="115"/>
      <c r="DG57" s="115"/>
      <c r="DH57" s="115"/>
      <c r="DI57" s="115"/>
      <c r="DJ57" s="115"/>
      <c r="DK57" s="115"/>
      <c r="DL57" s="115"/>
      <c r="DM57" s="115"/>
      <c r="DN57" s="115"/>
      <c r="DO57" s="115"/>
      <c r="DP57" s="44"/>
      <c r="DQ57" s="44"/>
      <c r="DU57" s="68"/>
      <c r="DV57" s="68" t="s">
        <v>605</v>
      </c>
      <c r="DW57" s="68" t="s">
        <v>605</v>
      </c>
      <c r="DX57" s="68" t="s">
        <v>605</v>
      </c>
      <c r="DY57" s="68" t="s">
        <v>605</v>
      </c>
      <c r="DZ57" s="68" t="s">
        <v>605</v>
      </c>
      <c r="EA57" s="68" t="s">
        <v>605</v>
      </c>
      <c r="EB57" s="68" t="s">
        <v>605</v>
      </c>
      <c r="EC57" s="68" t="s">
        <v>605</v>
      </c>
      <c r="ED57" s="68" t="s">
        <v>605</v>
      </c>
      <c r="EE57" s="68" t="s">
        <v>605</v>
      </c>
      <c r="EF57" s="68" t="s">
        <v>605</v>
      </c>
      <c r="EG57" s="68" t="s">
        <v>605</v>
      </c>
      <c r="EH57" s="44">
        <v>101</v>
      </c>
      <c r="EI57" s="44">
        <f>SUM(AQ57:AT57)</f>
        <v>883</v>
      </c>
      <c r="EJ57" s="44">
        <f>SUM(AU57:AX57)</f>
        <v>846</v>
      </c>
      <c r="EK57" s="65">
        <f t="shared" ref="EK57:EK71" si="75">SUM(AY57:BB57)</f>
        <v>700</v>
      </c>
      <c r="EL57" s="44">
        <f t="shared" ref="EL57" si="76">SUM(BC57:BF57)</f>
        <v>755</v>
      </c>
      <c r="EM57" s="44">
        <f t="shared" ref="EM57" si="77">SUM(BG57:BJ57)</f>
        <v>720</v>
      </c>
      <c r="EN57" s="44">
        <f t="shared" ref="EN57:EN73" si="78">SUM(BK57:BN57)</f>
        <v>670</v>
      </c>
      <c r="EO57" s="44">
        <f t="shared" ref="EO57:EO73" si="79">SUM(BO57:BR57)</f>
        <v>648</v>
      </c>
      <c r="EP57" s="44">
        <f t="shared" ref="EP57:EP71" si="80">SUM(BS57:BV57)</f>
        <v>647</v>
      </c>
      <c r="EQ57" s="44">
        <f>EP57*0.9</f>
        <v>582.30000000000007</v>
      </c>
      <c r="ER57" s="44">
        <f>EQ57*0.8</f>
        <v>465.84000000000009</v>
      </c>
      <c r="ES57" s="44">
        <f>ER57*0.7</f>
        <v>326.08800000000002</v>
      </c>
      <c r="ET57" s="44">
        <f>ES57*0.5</f>
        <v>163.04400000000001</v>
      </c>
      <c r="EU57" s="44">
        <f t="shared" si="15"/>
        <v>1107</v>
      </c>
      <c r="EV57" s="44">
        <f t="shared" si="3"/>
        <v>919</v>
      </c>
      <c r="EW57" s="44">
        <f t="shared" si="4"/>
        <v>397</v>
      </c>
      <c r="EX57" s="44">
        <f t="shared" si="63"/>
        <v>7</v>
      </c>
      <c r="FQ57" s="81">
        <f>EL57*0.2</f>
        <v>151</v>
      </c>
      <c r="FR57" s="44">
        <f>EQ57*0.2</f>
        <v>116.46000000000002</v>
      </c>
      <c r="FS57" s="82">
        <v>0</v>
      </c>
      <c r="FU57" s="4" t="s">
        <v>682</v>
      </c>
    </row>
    <row r="58" spans="1:184" s="20" customFormat="1" collapsed="1">
      <c r="B58" s="20" t="s">
        <v>638</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44">
        <v>57</v>
      </c>
      <c r="X58" s="44">
        <v>48</v>
      </c>
      <c r="Y58" s="44">
        <v>25</v>
      </c>
      <c r="Z58" s="44">
        <v>69</v>
      </c>
      <c r="AA58" s="44">
        <v>72</v>
      </c>
      <c r="AB58" s="44">
        <f>34+8</f>
        <v>42</v>
      </c>
      <c r="AC58" s="44">
        <f>39+22</f>
        <v>61</v>
      </c>
      <c r="AD58" s="44">
        <f>57+21</f>
        <v>78</v>
      </c>
      <c r="AE58" s="44">
        <f>73+24</f>
        <v>97</v>
      </c>
      <c r="AF58" s="44">
        <f>81+29</f>
        <v>110</v>
      </c>
      <c r="AG58" s="44">
        <f>85+35</f>
        <v>120</v>
      </c>
      <c r="AH58" s="44">
        <f>99+36</f>
        <v>135</v>
      </c>
      <c r="AI58" s="68">
        <f>104+39</f>
        <v>143</v>
      </c>
      <c r="AJ58" s="44">
        <f>106+47</f>
        <v>153</v>
      </c>
      <c r="AK58" s="44">
        <f>109+48</f>
        <v>157</v>
      </c>
      <c r="AL58" s="65">
        <v>164</v>
      </c>
      <c r="AM58" s="65">
        <v>186</v>
      </c>
      <c r="AN58" s="65">
        <v>167</v>
      </c>
      <c r="AO58" s="65">
        <v>206</v>
      </c>
      <c r="AP58" s="70">
        <v>223</v>
      </c>
      <c r="AQ58" s="65">
        <v>258</v>
      </c>
      <c r="AR58" s="65">
        <v>202</v>
      </c>
      <c r="AS58" s="65">
        <v>232</v>
      </c>
      <c r="AT58" s="65">
        <v>252</v>
      </c>
      <c r="AU58" s="44">
        <f>164+95</f>
        <v>259</v>
      </c>
      <c r="AV58" s="65">
        <f>170+122</f>
        <v>292</v>
      </c>
      <c r="AW58" s="44">
        <v>281</v>
      </c>
      <c r="AX58" s="65">
        <v>283</v>
      </c>
      <c r="AY58" s="65">
        <v>283</v>
      </c>
      <c r="AZ58" s="44">
        <v>257</v>
      </c>
      <c r="BA58" s="44">
        <v>271</v>
      </c>
      <c r="BB58" s="44">
        <v>330</v>
      </c>
      <c r="BC58" s="65">
        <f>161+131</f>
        <v>292</v>
      </c>
      <c r="BD58" s="44">
        <v>299</v>
      </c>
      <c r="BE58" s="44">
        <v>285</v>
      </c>
      <c r="BF58" s="65">
        <v>300</v>
      </c>
      <c r="BG58" s="44">
        <v>319</v>
      </c>
      <c r="BH58" s="65">
        <v>325</v>
      </c>
      <c r="BI58" s="44">
        <v>321</v>
      </c>
      <c r="BJ58" s="65">
        <v>318</v>
      </c>
      <c r="BK58" s="65">
        <v>325</v>
      </c>
      <c r="BL58" s="44">
        <v>343</v>
      </c>
      <c r="BM58" s="44">
        <v>328</v>
      </c>
      <c r="BN58" s="44">
        <v>349</v>
      </c>
      <c r="BO58" s="44">
        <v>342</v>
      </c>
      <c r="BP58" s="44">
        <v>346</v>
      </c>
      <c r="BQ58" s="44">
        <v>319</v>
      </c>
      <c r="BR58" s="44">
        <v>346</v>
      </c>
      <c r="BS58" s="115">
        <v>321</v>
      </c>
      <c r="BT58" s="44">
        <v>348</v>
      </c>
      <c r="BU58" s="44">
        <v>339</v>
      </c>
      <c r="BV58" s="44">
        <v>343</v>
      </c>
      <c r="BW58" s="115">
        <v>271</v>
      </c>
      <c r="BX58" s="115">
        <v>259</v>
      </c>
      <c r="BY58" s="115">
        <v>165</v>
      </c>
      <c r="BZ58" s="44">
        <v>187</v>
      </c>
      <c r="CA58" s="44">
        <v>127</v>
      </c>
      <c r="CB58" s="44">
        <v>114</v>
      </c>
      <c r="CC58" s="44">
        <v>94</v>
      </c>
      <c r="CD58" s="44">
        <v>86</v>
      </c>
      <c r="CE58" s="44">
        <v>77</v>
      </c>
      <c r="CF58" s="44">
        <v>75</v>
      </c>
      <c r="CG58" s="44">
        <v>68</v>
      </c>
      <c r="CH58" s="44">
        <v>61</v>
      </c>
      <c r="CI58" s="44">
        <v>68</v>
      </c>
      <c r="CJ58" s="44">
        <v>66</v>
      </c>
      <c r="CK58" s="44">
        <v>50</v>
      </c>
      <c r="CL58" s="44">
        <v>52</v>
      </c>
      <c r="CM58" s="44">
        <v>64</v>
      </c>
      <c r="CN58" s="115">
        <v>71</v>
      </c>
      <c r="CO58" s="115">
        <v>61</v>
      </c>
      <c r="CP58" s="115">
        <v>56</v>
      </c>
      <c r="CQ58" s="115">
        <v>70</v>
      </c>
      <c r="CR58" s="115">
        <v>55</v>
      </c>
      <c r="CS58" s="115">
        <v>51</v>
      </c>
      <c r="CT58" s="115">
        <v>46</v>
      </c>
      <c r="CU58" s="115">
        <v>0</v>
      </c>
      <c r="CV58" s="115">
        <v>0</v>
      </c>
      <c r="CW58" s="115">
        <v>41</v>
      </c>
      <c r="CX58" s="115">
        <v>29</v>
      </c>
      <c r="CY58" s="115">
        <v>0</v>
      </c>
      <c r="CZ58" s="115">
        <v>0</v>
      </c>
      <c r="DA58" s="115"/>
      <c r="DB58" s="115"/>
      <c r="DC58" s="115"/>
      <c r="DD58" s="115"/>
      <c r="DE58" s="115"/>
      <c r="DF58" s="115"/>
      <c r="DG58" s="115"/>
      <c r="DH58" s="115"/>
      <c r="DI58" s="115"/>
      <c r="DJ58" s="115"/>
      <c r="DK58" s="115"/>
      <c r="DL58" s="115"/>
      <c r="DM58" s="115"/>
      <c r="DN58" s="115"/>
      <c r="DO58" s="115"/>
      <c r="DP58" s="44"/>
      <c r="DQ58" s="44"/>
      <c r="DU58" s="68"/>
      <c r="DV58" s="68" t="s">
        <v>605</v>
      </c>
      <c r="DW58" s="68" t="s">
        <v>605</v>
      </c>
      <c r="DX58" s="68" t="s">
        <v>605</v>
      </c>
      <c r="DY58" s="44" t="s">
        <v>605</v>
      </c>
      <c r="DZ58" s="68" t="s">
        <v>605</v>
      </c>
      <c r="EA58" s="68" t="s">
        <v>605</v>
      </c>
      <c r="EB58" s="68" t="s">
        <v>605</v>
      </c>
      <c r="EC58" s="68" t="s">
        <v>605</v>
      </c>
      <c r="ED58" s="68">
        <f>SUM(W58:Z58)</f>
        <v>199</v>
      </c>
      <c r="EE58" s="68">
        <f>SUM(AA58:AD58)</f>
        <v>253</v>
      </c>
      <c r="EF58" s="68">
        <f>SUM(AE58:AH58)</f>
        <v>462</v>
      </c>
      <c r="EG58" s="44">
        <v>618</v>
      </c>
      <c r="EH58" s="44">
        <v>782</v>
      </c>
      <c r="EI58" s="44">
        <f>SUM(AQ58:AT58)</f>
        <v>944</v>
      </c>
      <c r="EJ58" s="44">
        <f>SUM(AU58:AX58)</f>
        <v>1115</v>
      </c>
      <c r="EK58" s="65">
        <f>SUM(AY58:BB58)</f>
        <v>1141</v>
      </c>
      <c r="EL58" s="68">
        <f>SUM(BC58:BF58)</f>
        <v>1176</v>
      </c>
      <c r="EM58" s="44">
        <f>SUM(BG58:BJ58)</f>
        <v>1283</v>
      </c>
      <c r="EN58" s="44">
        <f>SUM(BK58:BN58)</f>
        <v>1345</v>
      </c>
      <c r="EO58" s="44">
        <f>SUM(BO58:BR58)</f>
        <v>1353</v>
      </c>
      <c r="EP58" s="44">
        <f>SUM(BS58:BV58)</f>
        <v>1351</v>
      </c>
      <c r="EQ58" s="44">
        <f>EP58*0.2</f>
        <v>270.2</v>
      </c>
      <c r="ER58" s="44">
        <f>EQ58*0.2</f>
        <v>54.04</v>
      </c>
      <c r="ES58" s="44">
        <f>ER58*0.2</f>
        <v>10.808</v>
      </c>
      <c r="ET58" s="44">
        <f>ES58*0.2</f>
        <v>2.1616</v>
      </c>
      <c r="EU58" s="44">
        <f t="shared" si="15"/>
        <v>252</v>
      </c>
      <c r="EV58" s="44">
        <f t="shared" si="3"/>
        <v>222</v>
      </c>
      <c r="EW58" s="44">
        <f t="shared" si="4"/>
        <v>70</v>
      </c>
      <c r="EX58" s="44">
        <f t="shared" si="63"/>
        <v>0</v>
      </c>
      <c r="EY58" s="44"/>
      <c r="EZ58" s="44"/>
      <c r="FA58" s="44"/>
      <c r="FB58" s="44"/>
      <c r="FC58" s="44"/>
      <c r="FD58" s="44"/>
      <c r="FE58" s="44"/>
      <c r="FF58" s="44"/>
      <c r="FG58" s="44"/>
      <c r="FH58" s="44"/>
      <c r="FI58" s="44"/>
      <c r="FJ58" s="44"/>
      <c r="FK58" s="44"/>
      <c r="FL58" s="44"/>
      <c r="FM58" s="44"/>
      <c r="FN58" s="44"/>
      <c r="FO58" s="44"/>
      <c r="FP58" s="44"/>
      <c r="FQ58" s="81">
        <f>EL58*0.5</f>
        <v>588</v>
      </c>
      <c r="FR58" s="44">
        <f>EQ58*0.1</f>
        <v>27.02</v>
      </c>
      <c r="FS58" s="82">
        <v>0</v>
      </c>
      <c r="FT58" s="44"/>
    </row>
    <row r="59" spans="1:184" s="9" customFormat="1">
      <c r="A59" s="14"/>
      <c r="B59" s="14" t="s">
        <v>647</v>
      </c>
      <c r="C59" s="68" t="s">
        <v>605</v>
      </c>
      <c r="D59" s="68" t="s">
        <v>605</v>
      </c>
      <c r="E59" s="68" t="s">
        <v>605</v>
      </c>
      <c r="F59" s="68" t="s">
        <v>605</v>
      </c>
      <c r="G59" s="68" t="s">
        <v>605</v>
      </c>
      <c r="H59" s="68" t="s">
        <v>605</v>
      </c>
      <c r="I59" s="68" t="s">
        <v>605</v>
      </c>
      <c r="J59" s="68" t="s">
        <v>605</v>
      </c>
      <c r="K59" s="68" t="s">
        <v>605</v>
      </c>
      <c r="L59" s="68" t="s">
        <v>605</v>
      </c>
      <c r="M59" s="68" t="s">
        <v>605</v>
      </c>
      <c r="N59" s="68" t="s">
        <v>605</v>
      </c>
      <c r="O59" s="68" t="s">
        <v>605</v>
      </c>
      <c r="P59" s="68" t="s">
        <v>605</v>
      </c>
      <c r="Q59" s="68" t="s">
        <v>605</v>
      </c>
      <c r="R59" s="68" t="s">
        <v>605</v>
      </c>
      <c r="S59" s="68" t="s">
        <v>605</v>
      </c>
      <c r="T59" s="68" t="s">
        <v>605</v>
      </c>
      <c r="U59" s="68" t="s">
        <v>605</v>
      </c>
      <c r="V59" s="68" t="s">
        <v>605</v>
      </c>
      <c r="W59" s="68" t="s">
        <v>605</v>
      </c>
      <c r="X59" s="68" t="s">
        <v>605</v>
      </c>
      <c r="Y59" s="68" t="s">
        <v>605</v>
      </c>
      <c r="Z59" s="68" t="s">
        <v>605</v>
      </c>
      <c r="AA59" s="68" t="s">
        <v>605</v>
      </c>
      <c r="AB59" s="68" t="s">
        <v>605</v>
      </c>
      <c r="AC59" s="68" t="s">
        <v>605</v>
      </c>
      <c r="AD59" s="68" t="s">
        <v>605</v>
      </c>
      <c r="AE59" s="68" t="s">
        <v>605</v>
      </c>
      <c r="AF59" s="68" t="s">
        <v>605</v>
      </c>
      <c r="AG59" s="68" t="s">
        <v>605</v>
      </c>
      <c r="AH59" s="68" t="s">
        <v>605</v>
      </c>
      <c r="AI59" s="68" t="s">
        <v>605</v>
      </c>
      <c r="AJ59" s="68" t="s">
        <v>605</v>
      </c>
      <c r="AK59" s="68" t="s">
        <v>605</v>
      </c>
      <c r="AL59" s="70" t="s">
        <v>605</v>
      </c>
      <c r="AM59" s="70" t="s">
        <v>605</v>
      </c>
      <c r="AN59" s="103" t="s">
        <v>605</v>
      </c>
      <c r="AO59" s="103" t="s">
        <v>605</v>
      </c>
      <c r="AP59" s="70" t="s">
        <v>605</v>
      </c>
      <c r="AQ59" s="75" t="s">
        <v>648</v>
      </c>
      <c r="AR59" s="75" t="s">
        <v>649</v>
      </c>
      <c r="AS59" s="75" t="s">
        <v>650</v>
      </c>
      <c r="AT59" s="75" t="s">
        <v>651</v>
      </c>
      <c r="AU59" s="73" t="s">
        <v>652</v>
      </c>
      <c r="AV59" s="75" t="s">
        <v>653</v>
      </c>
      <c r="AW59" s="73" t="s">
        <v>654</v>
      </c>
      <c r="AX59" s="75" t="s">
        <v>655</v>
      </c>
      <c r="AY59" s="75" t="s">
        <v>656</v>
      </c>
      <c r="AZ59" s="73" t="s">
        <v>657</v>
      </c>
      <c r="BA59" s="73" t="s">
        <v>658</v>
      </c>
      <c r="BB59" s="73">
        <v>520</v>
      </c>
      <c r="BC59" s="70">
        <f>592+124</f>
        <v>716</v>
      </c>
      <c r="BD59" s="68">
        <f>113+621</f>
        <v>734</v>
      </c>
      <c r="BE59" s="68">
        <f>175+118</f>
        <v>293</v>
      </c>
      <c r="BF59" s="70">
        <f>206+125</f>
        <v>331</v>
      </c>
      <c r="BG59" s="68">
        <f>204+129</f>
        <v>333</v>
      </c>
      <c r="BH59" s="70">
        <f>168+147</f>
        <v>315</v>
      </c>
      <c r="BI59" s="68">
        <f>165+146</f>
        <v>311</v>
      </c>
      <c r="BJ59" s="70">
        <f>141+155</f>
        <v>296</v>
      </c>
      <c r="BK59" s="70">
        <f>151+129</f>
        <v>280</v>
      </c>
      <c r="BL59" s="68">
        <f>158+106</f>
        <v>264</v>
      </c>
      <c r="BM59" s="68">
        <f>107+152</f>
        <v>259</v>
      </c>
      <c r="BN59" s="68">
        <f>169+83</f>
        <v>252</v>
      </c>
      <c r="BO59" s="68">
        <f>166+105</f>
        <v>271</v>
      </c>
      <c r="BP59" s="68">
        <f>177+125</f>
        <v>302</v>
      </c>
      <c r="BQ59" s="68">
        <f>173+96</f>
        <v>269</v>
      </c>
      <c r="BR59" s="68">
        <f>182+114</f>
        <v>296</v>
      </c>
      <c r="BS59" s="115">
        <f>172+82</f>
        <v>254</v>
      </c>
      <c r="BT59" s="44">
        <f>198+96</f>
        <v>294</v>
      </c>
      <c r="BU59" s="44">
        <f>178+86</f>
        <v>264</v>
      </c>
      <c r="BV59" s="44">
        <f>80+189</f>
        <v>269</v>
      </c>
      <c r="BW59" s="115">
        <f>161+73</f>
        <v>234</v>
      </c>
      <c r="BX59" s="115">
        <f>177+74</f>
        <v>251</v>
      </c>
      <c r="BY59" s="115">
        <f>66+185</f>
        <v>251</v>
      </c>
      <c r="BZ59" s="44">
        <f>74+193</f>
        <v>267</v>
      </c>
      <c r="CA59" s="44">
        <f>70+178</f>
        <v>248</v>
      </c>
      <c r="CB59" s="44">
        <f>67+194</f>
        <v>261</v>
      </c>
      <c r="CC59" s="44">
        <f>174+70</f>
        <v>244</v>
      </c>
      <c r="CD59" s="44">
        <f>70+185</f>
        <v>255</v>
      </c>
      <c r="CE59" s="44">
        <f>116+66</f>
        <v>182</v>
      </c>
      <c r="CF59" s="44">
        <f>73+46</f>
        <v>119</v>
      </c>
      <c r="CG59" s="44">
        <f>69+76</f>
        <v>145</v>
      </c>
      <c r="CH59" s="44">
        <f>82+73</f>
        <v>155</v>
      </c>
      <c r="CI59" s="44">
        <f>53+71</f>
        <v>124</v>
      </c>
      <c r="CJ59" s="44">
        <f>79+51</f>
        <v>130</v>
      </c>
      <c r="CK59" s="44">
        <v>78</v>
      </c>
      <c r="CL59" s="44">
        <v>83</v>
      </c>
      <c r="CM59" s="44">
        <v>77</v>
      </c>
      <c r="CN59" s="115">
        <v>86</v>
      </c>
      <c r="CO59" s="115">
        <v>80</v>
      </c>
      <c r="CP59" s="115">
        <v>94</v>
      </c>
      <c r="CQ59" s="115">
        <v>77</v>
      </c>
      <c r="CR59" s="115">
        <v>86</v>
      </c>
      <c r="CS59" s="115">
        <v>40</v>
      </c>
      <c r="CT59" s="115">
        <v>47</v>
      </c>
      <c r="CU59" s="115">
        <v>0</v>
      </c>
      <c r="CV59" s="115"/>
      <c r="CW59" s="115">
        <v>43</v>
      </c>
      <c r="CX59" s="115">
        <v>43</v>
      </c>
      <c r="CY59" s="115">
        <v>0</v>
      </c>
      <c r="CZ59" s="115"/>
      <c r="DA59" s="115"/>
      <c r="DB59" s="115"/>
      <c r="DC59" s="115"/>
      <c r="DD59" s="115"/>
      <c r="DE59" s="115"/>
      <c r="DF59" s="115"/>
      <c r="DG59" s="115"/>
      <c r="DH59" s="115"/>
      <c r="DI59" s="115"/>
      <c r="DJ59" s="115"/>
      <c r="DK59" s="115"/>
      <c r="DL59" s="115"/>
      <c r="DM59" s="115"/>
      <c r="DN59" s="115"/>
      <c r="DO59" s="115"/>
      <c r="DP59" s="44"/>
      <c r="DQ59" s="44"/>
      <c r="DR59" s="14"/>
      <c r="DS59" s="14"/>
      <c r="DT59" s="14"/>
      <c r="DU59" s="68"/>
      <c r="DV59" s="68" t="s">
        <v>605</v>
      </c>
      <c r="DW59" s="68" t="s">
        <v>605</v>
      </c>
      <c r="DX59" s="68" t="s">
        <v>605</v>
      </c>
      <c r="DY59" s="68" t="s">
        <v>605</v>
      </c>
      <c r="DZ59" s="68" t="s">
        <v>605</v>
      </c>
      <c r="EA59" s="68" t="s">
        <v>605</v>
      </c>
      <c r="EB59" s="68" t="s">
        <v>605</v>
      </c>
      <c r="EC59" s="68" t="s">
        <v>605</v>
      </c>
      <c r="ED59" s="68" t="s">
        <v>605</v>
      </c>
      <c r="EE59" s="68" t="s">
        <v>605</v>
      </c>
      <c r="EF59" s="68" t="s">
        <v>605</v>
      </c>
      <c r="EG59" s="68" t="s">
        <v>605</v>
      </c>
      <c r="EH59" s="73" t="s">
        <v>659</v>
      </c>
      <c r="EI59" s="73" t="s">
        <v>660</v>
      </c>
      <c r="EJ59" s="73" t="s">
        <v>661</v>
      </c>
      <c r="EK59" s="75">
        <f>SUM(AY59:BB59)</f>
        <v>520</v>
      </c>
      <c r="EL59" s="68">
        <f>SUM(BC59:BF59)</f>
        <v>2074</v>
      </c>
      <c r="EM59" s="44">
        <f>SUM(BG59:BJ59)</f>
        <v>1255</v>
      </c>
      <c r="EN59" s="44">
        <f>SUM(BK59:BN59)</f>
        <v>1055</v>
      </c>
      <c r="EO59" s="44">
        <f>SUM(BO59:BR59)</f>
        <v>1138</v>
      </c>
      <c r="EP59" s="44">
        <f>SUM(BS59:BV59)</f>
        <v>1081</v>
      </c>
      <c r="EQ59" s="68">
        <f>EP59*0.5</f>
        <v>540.5</v>
      </c>
      <c r="ER59" s="68">
        <f>EQ59*0.5</f>
        <v>270.25</v>
      </c>
      <c r="ES59" s="68">
        <f>ER59*0.5</f>
        <v>135.125</v>
      </c>
      <c r="ET59" s="68">
        <f>ES59*0.5</f>
        <v>67.5625</v>
      </c>
      <c r="EU59" s="44">
        <f t="shared" si="15"/>
        <v>337</v>
      </c>
      <c r="EV59" s="44">
        <f t="shared" si="3"/>
        <v>250</v>
      </c>
      <c r="EW59" s="44">
        <f t="shared" si="4"/>
        <v>86</v>
      </c>
      <c r="EX59" s="44">
        <f t="shared" si="63"/>
        <v>0</v>
      </c>
      <c r="EY59" s="44"/>
      <c r="EZ59" s="44"/>
      <c r="FA59" s="44"/>
      <c r="FB59" s="68"/>
      <c r="FC59" s="68"/>
      <c r="FD59" s="68"/>
      <c r="FE59" s="68"/>
      <c r="FF59" s="68"/>
      <c r="FG59" s="68"/>
      <c r="FH59" s="68"/>
      <c r="FI59" s="68"/>
      <c r="FJ59" s="68"/>
      <c r="FK59" s="68"/>
      <c r="FL59" s="68"/>
      <c r="FM59" s="68"/>
      <c r="FN59" s="68"/>
      <c r="FO59" s="68"/>
      <c r="FP59" s="68"/>
      <c r="FQ59" s="83">
        <f>EL59*0.3</f>
        <v>622.19999999999993</v>
      </c>
      <c r="FR59" s="68">
        <f>EQ59*0.2</f>
        <v>108.10000000000001</v>
      </c>
      <c r="FS59" s="84">
        <f>EV59*0.1</f>
        <v>25</v>
      </c>
      <c r="FT59" s="68"/>
      <c r="FU59" s="14" t="s">
        <v>662</v>
      </c>
      <c r="FV59" s="14"/>
      <c r="FW59" s="14"/>
      <c r="FX59" s="14"/>
      <c r="FY59" s="14"/>
      <c r="FZ59" s="14"/>
      <c r="GA59" s="14"/>
      <c r="GB59" s="14"/>
    </row>
    <row r="60" spans="1:184">
      <c r="B60" s="4" t="s">
        <v>706</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v>84</v>
      </c>
      <c r="BD60" s="44"/>
      <c r="BE60" s="44">
        <v>78</v>
      </c>
      <c r="BF60" s="65">
        <v>74</v>
      </c>
      <c r="BG60" s="44">
        <v>73</v>
      </c>
      <c r="BH60" s="65">
        <v>75</v>
      </c>
      <c r="BI60" s="44">
        <v>76</v>
      </c>
      <c r="BJ60" s="65">
        <v>74</v>
      </c>
      <c r="BK60" s="65">
        <v>81</v>
      </c>
      <c r="BL60" s="44">
        <v>86</v>
      </c>
      <c r="BM60" s="44">
        <v>82</v>
      </c>
      <c r="BN60" s="44">
        <v>86</v>
      </c>
      <c r="BO60" s="44">
        <v>87</v>
      </c>
      <c r="BP60" s="44">
        <v>92</v>
      </c>
      <c r="BQ60" s="44">
        <v>92</v>
      </c>
      <c r="BR60" s="44">
        <v>87</v>
      </c>
      <c r="BS60" s="115">
        <v>74</v>
      </c>
      <c r="BT60" s="44">
        <v>82</v>
      </c>
      <c r="BU60" s="44">
        <v>85</v>
      </c>
      <c r="BV60" s="44">
        <v>82</v>
      </c>
      <c r="BW60" s="115">
        <v>74</v>
      </c>
      <c r="BX60" s="115">
        <v>77</v>
      </c>
      <c r="BY60" s="115">
        <v>81</v>
      </c>
      <c r="BZ60" s="44">
        <v>73</v>
      </c>
      <c r="CA60" s="44">
        <v>76</v>
      </c>
      <c r="CB60" s="44">
        <v>59</v>
      </c>
      <c r="CC60" s="44">
        <v>69</v>
      </c>
      <c r="CD60" s="44">
        <v>71</v>
      </c>
      <c r="CE60" s="44">
        <v>74</v>
      </c>
      <c r="CF60" s="44">
        <v>57</v>
      </c>
      <c r="CG60" s="44">
        <v>60</v>
      </c>
      <c r="CH60" s="44">
        <v>69</v>
      </c>
      <c r="CI60" s="44">
        <v>63</v>
      </c>
      <c r="CJ60" s="44">
        <v>63</v>
      </c>
      <c r="CK60" s="44">
        <v>60</v>
      </c>
      <c r="CL60" s="44">
        <v>62</v>
      </c>
      <c r="CM60" s="44">
        <v>0</v>
      </c>
      <c r="CN60" s="115">
        <v>0</v>
      </c>
      <c r="CO60" s="115">
        <v>50</v>
      </c>
      <c r="CP60" s="115">
        <v>51</v>
      </c>
      <c r="CQ60" s="115">
        <v>0</v>
      </c>
      <c r="CR60" s="115">
        <v>0</v>
      </c>
      <c r="CS60" s="115">
        <v>33</v>
      </c>
      <c r="CT60" s="115">
        <v>45</v>
      </c>
      <c r="CU60" s="115">
        <v>0</v>
      </c>
      <c r="CV60" s="115"/>
      <c r="CW60" s="115">
        <v>56</v>
      </c>
      <c r="CX60" s="115">
        <v>47</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L60" s="44">
        <f>SUM(BC60:BF60)</f>
        <v>236</v>
      </c>
      <c r="EM60" s="44">
        <f>SUM(BG60:BJ60)</f>
        <v>298</v>
      </c>
      <c r="EN60" s="44">
        <f>SUM(BK60:BN60)</f>
        <v>335</v>
      </c>
      <c r="EO60" s="44">
        <f>SUM(BO60:BR60)</f>
        <v>358</v>
      </c>
      <c r="EP60" s="44">
        <f>SUM(BS60:BV60)</f>
        <v>323</v>
      </c>
      <c r="EQ60" s="44">
        <f t="shared" ref="EQ60:ET60" si="81">+EP60*0.8</f>
        <v>258.40000000000003</v>
      </c>
      <c r="ER60" s="44">
        <f t="shared" si="81"/>
        <v>206.72000000000003</v>
      </c>
      <c r="ES60" s="44">
        <f t="shared" si="81"/>
        <v>165.37600000000003</v>
      </c>
      <c r="ET60" s="44">
        <f t="shared" si="81"/>
        <v>132.30080000000004</v>
      </c>
      <c r="EU60" s="44">
        <f t="shared" si="15"/>
        <v>101</v>
      </c>
      <c r="EV60" s="44">
        <f t="shared" si="3"/>
        <v>78</v>
      </c>
      <c r="EW60" s="44">
        <f t="shared" si="4"/>
        <v>103</v>
      </c>
      <c r="EX60" s="44">
        <f t="shared" si="63"/>
        <v>0</v>
      </c>
      <c r="FS60" s="82">
        <f>+EV60*0.2</f>
        <v>15.600000000000001</v>
      </c>
    </row>
    <row r="61" spans="1:184">
      <c r="B61" s="4" t="s">
        <v>1381</v>
      </c>
      <c r="AA61" s="44"/>
      <c r="AB61" s="44"/>
      <c r="AC61" s="44"/>
      <c r="AD61" s="44"/>
      <c r="AE61" s="44"/>
      <c r="AF61" s="44"/>
      <c r="AG61" s="44"/>
      <c r="AH61" s="44"/>
      <c r="AI61" s="68"/>
      <c r="AJ61" s="44"/>
      <c r="AL61" s="65"/>
      <c r="AM61" s="65"/>
      <c r="AN61" s="69"/>
      <c r="AO61" s="69"/>
      <c r="AP61" s="103"/>
      <c r="AQ61" s="65"/>
      <c r="AR61" s="65"/>
      <c r="AS61" s="65"/>
      <c r="AT61" s="65"/>
      <c r="AU61" s="44"/>
      <c r="AV61" s="65"/>
      <c r="AW61" s="44"/>
      <c r="AX61" s="65"/>
      <c r="AY61" s="65"/>
      <c r="AZ61" s="44"/>
      <c r="BA61" s="44"/>
      <c r="BB61" s="44"/>
      <c r="BC61" s="65"/>
      <c r="BD61" s="44"/>
      <c r="BE61" s="44"/>
      <c r="BF61" s="65"/>
      <c r="BG61" s="44"/>
      <c r="BH61" s="65"/>
      <c r="BI61" s="44"/>
      <c r="BJ61" s="65"/>
      <c r="BK61" s="65"/>
      <c r="BL61" s="44"/>
      <c r="BM61" s="44"/>
      <c r="BN61" s="44"/>
      <c r="BO61" s="44"/>
      <c r="BP61" s="44"/>
      <c r="BQ61" s="44"/>
      <c r="BR61" s="44"/>
      <c r="BS61" s="115"/>
      <c r="BT61" s="44"/>
      <c r="BU61" s="44"/>
      <c r="BV61" s="44"/>
      <c r="BW61" s="115"/>
      <c r="BX61" s="115"/>
      <c r="BY61" s="115"/>
      <c r="BZ61" s="44"/>
      <c r="CA61" s="44"/>
      <c r="CB61" s="44"/>
      <c r="CC61" s="44">
        <v>64</v>
      </c>
      <c r="CD61" s="44">
        <v>65</v>
      </c>
      <c r="CE61" s="44">
        <v>64</v>
      </c>
      <c r="CF61" s="44">
        <v>67</v>
      </c>
      <c r="CG61" s="44">
        <v>51</v>
      </c>
      <c r="CH61" s="44">
        <v>61</v>
      </c>
      <c r="CI61" s="44">
        <v>55</v>
      </c>
      <c r="CJ61" s="44">
        <v>64</v>
      </c>
      <c r="CK61" s="44">
        <v>0</v>
      </c>
      <c r="CL61" s="44">
        <v>0</v>
      </c>
      <c r="CM61" s="44">
        <v>0</v>
      </c>
      <c r="CN61" s="115">
        <v>40</v>
      </c>
      <c r="CO61" s="115">
        <v>0</v>
      </c>
      <c r="CP61" s="115">
        <v>0</v>
      </c>
      <c r="CQ61" s="115">
        <v>0</v>
      </c>
      <c r="CR61" s="115">
        <v>114</v>
      </c>
      <c r="CS61" s="115">
        <v>55</v>
      </c>
      <c r="CT61" s="115">
        <v>48</v>
      </c>
      <c r="CU61" s="115">
        <v>0</v>
      </c>
      <c r="CV61" s="115"/>
      <c r="CW61" s="115">
        <v>50</v>
      </c>
      <c r="CX61" s="115">
        <v>30</v>
      </c>
      <c r="CY61" s="115">
        <v>0</v>
      </c>
      <c r="CZ61" s="115"/>
      <c r="DA61" s="115"/>
      <c r="DB61" s="115"/>
      <c r="DC61" s="115"/>
      <c r="DD61" s="115"/>
      <c r="DE61" s="115"/>
      <c r="DF61" s="115"/>
      <c r="DG61" s="115"/>
      <c r="DH61" s="115"/>
      <c r="DI61" s="115"/>
      <c r="DJ61" s="115"/>
      <c r="DK61" s="115"/>
      <c r="DL61" s="115"/>
      <c r="DM61" s="115"/>
      <c r="DN61" s="115"/>
      <c r="DO61" s="115"/>
      <c r="DP61" s="44"/>
      <c r="DQ61" s="44"/>
      <c r="DR61" s="44"/>
      <c r="DS61" s="44"/>
      <c r="DT61" s="44"/>
      <c r="DU61" s="68"/>
      <c r="DV61" s="68"/>
      <c r="DW61" s="68"/>
      <c r="DX61" s="68"/>
      <c r="DY61" s="68"/>
      <c r="DZ61" s="68"/>
      <c r="EA61" s="68"/>
      <c r="EB61" s="68"/>
      <c r="EC61" s="68"/>
      <c r="ED61" s="68"/>
      <c r="EE61" s="68"/>
      <c r="EF61" s="68"/>
      <c r="EG61" s="44"/>
      <c r="EH61" s="44"/>
      <c r="EI61" s="44"/>
      <c r="EJ61" s="44"/>
      <c r="EK61" s="65"/>
      <c r="EU61" s="44">
        <f t="shared" si="15"/>
        <v>40</v>
      </c>
      <c r="EV61" s="44">
        <f t="shared" si="3"/>
        <v>217</v>
      </c>
      <c r="EW61" s="44">
        <f t="shared" si="4"/>
        <v>80</v>
      </c>
      <c r="EX61" s="44">
        <f t="shared" si="63"/>
        <v>0</v>
      </c>
    </row>
    <row r="62" spans="1:184">
      <c r="B62" s="14" t="s">
        <v>721</v>
      </c>
      <c r="W62" s="44"/>
      <c r="X62" s="44"/>
      <c r="Y62" s="44"/>
      <c r="Z62" s="44"/>
      <c r="AA62" s="44"/>
      <c r="AB62" s="44"/>
      <c r="AC62" s="44"/>
      <c r="AD62" s="44"/>
      <c r="AE62" s="44"/>
      <c r="AF62" s="44"/>
      <c r="AG62" s="44"/>
      <c r="AH62" s="44"/>
      <c r="AI62" s="68"/>
      <c r="AJ62" s="44"/>
      <c r="AK62" s="44"/>
      <c r="AL62" s="65"/>
      <c r="AM62" s="65"/>
      <c r="AN62" s="65"/>
      <c r="AO62" s="65"/>
      <c r="AP62" s="70"/>
      <c r="AQ62" s="65"/>
      <c r="AR62" s="65"/>
      <c r="AS62" s="65"/>
      <c r="AT62" s="65"/>
      <c r="AU62" s="44"/>
      <c r="AV62" s="65"/>
      <c r="AW62" s="44"/>
      <c r="AX62" s="65"/>
      <c r="AY62" s="65"/>
      <c r="AZ62" s="44"/>
      <c r="BA62" s="44"/>
      <c r="BB62" s="44"/>
      <c r="BC62" s="65"/>
      <c r="BD62" s="44"/>
      <c r="BE62" s="44">
        <v>0</v>
      </c>
      <c r="BF62" s="70" t="s">
        <v>605</v>
      </c>
      <c r="BG62" s="44"/>
      <c r="BH62" s="65">
        <v>66</v>
      </c>
      <c r="BI62" s="44">
        <v>59</v>
      </c>
      <c r="BJ62" s="70" t="s">
        <v>605</v>
      </c>
      <c r="BK62" s="65">
        <v>58</v>
      </c>
      <c r="BL62" s="44">
        <v>92</v>
      </c>
      <c r="BM62" s="44">
        <v>67</v>
      </c>
      <c r="BN62" s="68" t="s">
        <v>605</v>
      </c>
      <c r="BO62" s="68">
        <v>72</v>
      </c>
      <c r="BP62" s="68">
        <v>73</v>
      </c>
      <c r="BQ62" s="68">
        <v>85</v>
      </c>
      <c r="BR62" s="68" t="s">
        <v>605</v>
      </c>
      <c r="BS62" s="115">
        <v>63</v>
      </c>
      <c r="BT62" s="44">
        <v>89</v>
      </c>
      <c r="BU62" s="44">
        <v>79</v>
      </c>
      <c r="BV62" s="44">
        <v>64</v>
      </c>
      <c r="BW62" s="115">
        <v>76</v>
      </c>
      <c r="BX62" s="115">
        <v>85</v>
      </c>
      <c r="BY62" s="115">
        <v>107</v>
      </c>
      <c r="BZ62" s="44">
        <v>71</v>
      </c>
      <c r="CA62" s="44">
        <v>97</v>
      </c>
      <c r="CB62" s="44">
        <v>93</v>
      </c>
      <c r="CC62" s="44">
        <v>110</v>
      </c>
      <c r="CD62" s="44">
        <v>87</v>
      </c>
      <c r="CE62" s="44">
        <v>81</v>
      </c>
      <c r="CF62" s="44">
        <v>90</v>
      </c>
      <c r="CG62" s="44">
        <v>82</v>
      </c>
      <c r="CH62" s="44">
        <v>37</v>
      </c>
      <c r="CI62" s="44">
        <v>52</v>
      </c>
      <c r="CJ62" s="44">
        <v>95</v>
      </c>
      <c r="CK62" s="44">
        <v>68</v>
      </c>
      <c r="CL62" s="44">
        <v>88</v>
      </c>
      <c r="CM62" s="44">
        <v>56</v>
      </c>
      <c r="CN62" s="115">
        <v>67</v>
      </c>
      <c r="CO62" s="115">
        <v>92</v>
      </c>
      <c r="CP62" s="115">
        <v>65</v>
      </c>
      <c r="CQ62" s="115">
        <v>72</v>
      </c>
      <c r="CR62" s="115">
        <v>64</v>
      </c>
      <c r="CS62" s="115">
        <v>75</v>
      </c>
      <c r="CT62" s="115">
        <v>0</v>
      </c>
      <c r="CU62" s="115">
        <v>0</v>
      </c>
      <c r="CV62" s="115">
        <v>0</v>
      </c>
      <c r="CW62" s="115">
        <v>78</v>
      </c>
      <c r="CX62" s="115">
        <v>0</v>
      </c>
      <c r="CY62" s="115">
        <v>0</v>
      </c>
      <c r="CZ62" s="115"/>
      <c r="DA62" s="115"/>
      <c r="DB62" s="115"/>
      <c r="DC62" s="115"/>
      <c r="DD62" s="115"/>
      <c r="DE62" s="115"/>
      <c r="DF62" s="115"/>
      <c r="DG62" s="115"/>
      <c r="DH62" s="115"/>
      <c r="DI62" s="115"/>
      <c r="DJ62" s="115"/>
      <c r="DK62" s="115"/>
      <c r="DL62" s="115"/>
      <c r="DM62" s="115"/>
      <c r="DN62" s="115"/>
      <c r="DO62" s="115"/>
      <c r="DP62" s="44"/>
      <c r="DQ62" s="44"/>
      <c r="DR62" s="14"/>
      <c r="DU62" s="68"/>
      <c r="DV62" s="68"/>
      <c r="DW62" s="44"/>
      <c r="DX62" s="44"/>
      <c r="DY62" s="44"/>
      <c r="DZ62" s="68"/>
      <c r="EA62" s="68"/>
      <c r="EB62" s="68"/>
      <c r="EC62" s="68"/>
      <c r="ED62" s="68"/>
      <c r="EE62" s="68"/>
      <c r="EF62" s="68"/>
      <c r="EG62" s="44"/>
      <c r="EH62" s="44"/>
      <c r="EI62" s="44"/>
      <c r="EJ62" s="44"/>
      <c r="EK62" s="65"/>
      <c r="EN62" s="44">
        <f>SUM(BK62:BN62)</f>
        <v>217</v>
      </c>
      <c r="EO62" s="44">
        <f>SUM(BO62:BR62)</f>
        <v>230</v>
      </c>
      <c r="EP62" s="44">
        <f>SUM(BS62:BV62)</f>
        <v>295</v>
      </c>
      <c r="EQ62" s="44">
        <f t="shared" ref="EQ62:ET62" si="82">+EP62*0.9</f>
        <v>265.5</v>
      </c>
      <c r="ER62" s="44">
        <f t="shared" si="82"/>
        <v>238.95000000000002</v>
      </c>
      <c r="ES62" s="44">
        <f t="shared" si="82"/>
        <v>215.05500000000001</v>
      </c>
      <c r="ET62" s="44">
        <f t="shared" si="82"/>
        <v>193.54950000000002</v>
      </c>
      <c r="EU62" s="44">
        <f t="shared" si="15"/>
        <v>280</v>
      </c>
      <c r="EV62" s="44">
        <f t="shared" si="3"/>
        <v>211</v>
      </c>
      <c r="EW62" s="44">
        <f t="shared" si="4"/>
        <v>78</v>
      </c>
      <c r="EX62" s="44">
        <f t="shared" si="63"/>
        <v>0</v>
      </c>
      <c r="FQ62" s="44"/>
      <c r="FS62" s="82">
        <f>+EV62*0.5</f>
        <v>105.5</v>
      </c>
    </row>
    <row r="63" spans="1:184" s="20" customFormat="1" collapsed="1">
      <c r="B63" s="111" t="s">
        <v>631</v>
      </c>
      <c r="C63" s="68" t="s">
        <v>605</v>
      </c>
      <c r="D63" s="68" t="s">
        <v>605</v>
      </c>
      <c r="E63" s="68" t="s">
        <v>605</v>
      </c>
      <c r="F63" s="68" t="s">
        <v>605</v>
      </c>
      <c r="G63" s="68" t="s">
        <v>605</v>
      </c>
      <c r="H63" s="68" t="s">
        <v>605</v>
      </c>
      <c r="I63" s="68" t="s">
        <v>605</v>
      </c>
      <c r="J63" s="68" t="s">
        <v>605</v>
      </c>
      <c r="K63" s="68" t="s">
        <v>605</v>
      </c>
      <c r="L63" s="68" t="s">
        <v>605</v>
      </c>
      <c r="M63" s="68" t="s">
        <v>605</v>
      </c>
      <c r="N63" s="68" t="s">
        <v>605</v>
      </c>
      <c r="O63" s="68" t="s">
        <v>605</v>
      </c>
      <c r="P63" s="68" t="s">
        <v>605</v>
      </c>
      <c r="Q63" s="68" t="s">
        <v>605</v>
      </c>
      <c r="R63" s="68" t="s">
        <v>605</v>
      </c>
      <c r="S63" s="68" t="s">
        <v>605</v>
      </c>
      <c r="T63" s="68" t="s">
        <v>605</v>
      </c>
      <c r="U63" s="68" t="s">
        <v>605</v>
      </c>
      <c r="V63" s="68" t="s">
        <v>605</v>
      </c>
      <c r="W63" s="44">
        <v>607</v>
      </c>
      <c r="X63" s="44">
        <v>807</v>
      </c>
      <c r="Y63" s="44">
        <v>824</v>
      </c>
      <c r="Z63" s="44">
        <v>812</v>
      </c>
      <c r="AA63" s="44">
        <v>585</v>
      </c>
      <c r="AB63" s="44">
        <f>239+105</f>
        <v>344</v>
      </c>
      <c r="AC63" s="44">
        <f>496+205</f>
        <v>701</v>
      </c>
      <c r="AD63" s="44">
        <f>587+223</f>
        <v>810</v>
      </c>
      <c r="AE63" s="44">
        <f>558+211</f>
        <v>769</v>
      </c>
      <c r="AF63" s="44">
        <f>504+224</f>
        <v>728</v>
      </c>
      <c r="AG63" s="44">
        <f>583+214</f>
        <v>797</v>
      </c>
      <c r="AH63" s="44">
        <f>719+289</f>
        <v>1008</v>
      </c>
      <c r="AI63" s="68">
        <f>265+146</f>
        <v>411</v>
      </c>
      <c r="AJ63" s="44">
        <f>306+95</f>
        <v>401</v>
      </c>
      <c r="AK63" s="44">
        <f>339+107</f>
        <v>446</v>
      </c>
      <c r="AL63" s="65">
        <v>472</v>
      </c>
      <c r="AM63" s="65">
        <v>491</v>
      </c>
      <c r="AN63" s="65">
        <v>471</v>
      </c>
      <c r="AO63" s="65">
        <v>537</v>
      </c>
      <c r="AP63" s="70">
        <v>540</v>
      </c>
      <c r="AQ63" s="65">
        <v>598</v>
      </c>
      <c r="AR63" s="65">
        <v>478</v>
      </c>
      <c r="AS63" s="65">
        <v>577</v>
      </c>
      <c r="AT63" s="65">
        <v>637</v>
      </c>
      <c r="AU63" s="44">
        <f>464+147</f>
        <v>611</v>
      </c>
      <c r="AV63" s="65">
        <f>415+174</f>
        <v>589</v>
      </c>
      <c r="AW63" s="44">
        <v>625</v>
      </c>
      <c r="AX63" s="65">
        <v>664</v>
      </c>
      <c r="AY63" s="65">
        <v>564</v>
      </c>
      <c r="AZ63" s="44">
        <v>548</v>
      </c>
      <c r="BA63" s="44">
        <v>602</v>
      </c>
      <c r="BB63" s="44">
        <f>467+202</f>
        <v>669</v>
      </c>
      <c r="BC63" s="65">
        <f>388+182</f>
        <v>570</v>
      </c>
      <c r="BD63" s="44">
        <v>604</v>
      </c>
      <c r="BE63" s="44">
        <v>578</v>
      </c>
      <c r="BF63" s="65">
        <v>622</v>
      </c>
      <c r="BG63" s="44">
        <v>591</v>
      </c>
      <c r="BH63" s="65">
        <v>622</v>
      </c>
      <c r="BI63" s="44">
        <v>643</v>
      </c>
      <c r="BJ63" s="65">
        <v>667</v>
      </c>
      <c r="BK63" s="65">
        <v>634</v>
      </c>
      <c r="BL63" s="44">
        <v>659</v>
      </c>
      <c r="BM63" s="44">
        <v>676</v>
      </c>
      <c r="BN63" s="44">
        <v>750</v>
      </c>
      <c r="BO63" s="44">
        <v>653</v>
      </c>
      <c r="BP63" s="44">
        <v>715</v>
      </c>
      <c r="BQ63" s="44">
        <v>752</v>
      </c>
      <c r="BR63" s="44">
        <v>798</v>
      </c>
      <c r="BS63" s="115">
        <v>624</v>
      </c>
      <c r="BT63" s="44">
        <v>762</v>
      </c>
      <c r="BU63" s="44">
        <v>764</v>
      </c>
      <c r="BV63" s="44">
        <v>550</v>
      </c>
      <c r="BW63" s="115">
        <v>205</v>
      </c>
      <c r="BX63" s="115">
        <v>224</v>
      </c>
      <c r="BY63" s="115">
        <v>212</v>
      </c>
      <c r="BZ63" s="44">
        <v>190</v>
      </c>
      <c r="CA63" s="44">
        <v>172</v>
      </c>
      <c r="CB63" s="44">
        <v>183</v>
      </c>
      <c r="CC63" s="44">
        <v>194</v>
      </c>
      <c r="CD63" s="44">
        <v>183</v>
      </c>
      <c r="CE63" s="44">
        <v>175</v>
      </c>
      <c r="CF63" s="44">
        <v>178</v>
      </c>
      <c r="CG63" s="44">
        <v>212</v>
      </c>
      <c r="CH63" s="44">
        <v>210</v>
      </c>
      <c r="CI63" s="44">
        <v>145</v>
      </c>
      <c r="CJ63" s="44">
        <v>161</v>
      </c>
      <c r="CK63" s="44">
        <v>188</v>
      </c>
      <c r="CL63" s="44">
        <v>192</v>
      </c>
      <c r="CM63" s="44">
        <v>174</v>
      </c>
      <c r="CN63" s="115">
        <v>174</v>
      </c>
      <c r="CO63" s="115">
        <v>179</v>
      </c>
      <c r="CP63" s="115">
        <v>193</v>
      </c>
      <c r="CQ63" s="115">
        <v>156</v>
      </c>
      <c r="CR63" s="115">
        <v>139</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68">
        <f>SUM(W63:Z63)</f>
        <v>3050</v>
      </c>
      <c r="EE63" s="44">
        <f>SUM(AA63:AD63)</f>
        <v>2440</v>
      </c>
      <c r="EF63" s="68">
        <f>SUM(AE63:AH63)</f>
        <v>3302</v>
      </c>
      <c r="EG63" s="44">
        <v>1730</v>
      </c>
      <c r="EH63" s="44">
        <v>2039</v>
      </c>
      <c r="EI63" s="44">
        <f>SUM(AQ63:AT63)</f>
        <v>2290</v>
      </c>
      <c r="EJ63" s="68">
        <f>SUM(AU63:AX63)</f>
        <v>2489</v>
      </c>
      <c r="EK63" s="65">
        <f t="shared" si="75"/>
        <v>2383</v>
      </c>
      <c r="EL63" s="68">
        <f t="shared" ref="EL63:EL67" si="83">SUM(BC63:BF63)</f>
        <v>2374</v>
      </c>
      <c r="EM63" s="68">
        <f>SUM(BG63:BJ63)</f>
        <v>2523</v>
      </c>
      <c r="EN63" s="44">
        <f t="shared" si="78"/>
        <v>2719</v>
      </c>
      <c r="EO63" s="44">
        <f t="shared" si="79"/>
        <v>2918</v>
      </c>
      <c r="EP63" s="44">
        <f t="shared" si="80"/>
        <v>2700</v>
      </c>
      <c r="EQ63" s="44">
        <f>EP63*0.4</f>
        <v>1080</v>
      </c>
      <c r="ER63" s="44">
        <f>EQ63*0.6</f>
        <v>648</v>
      </c>
      <c r="ES63" s="44">
        <f>ER63*0.6</f>
        <v>388.8</v>
      </c>
      <c r="ET63" s="44">
        <f>+ES63</f>
        <v>388.8</v>
      </c>
      <c r="EU63" s="44">
        <f t="shared" si="15"/>
        <v>720</v>
      </c>
      <c r="EV63" s="44">
        <f t="shared" si="3"/>
        <v>295</v>
      </c>
      <c r="EW63" s="44">
        <f t="shared" si="4"/>
        <v>0</v>
      </c>
      <c r="EX63" s="44">
        <f t="shared" si="63"/>
        <v>0</v>
      </c>
      <c r="EY63" s="44"/>
      <c r="EZ63" s="44"/>
      <c r="FA63" s="44"/>
      <c r="FB63" s="44"/>
      <c r="FC63" s="44"/>
      <c r="FD63" s="44"/>
      <c r="FE63" s="44"/>
      <c r="FF63" s="44"/>
      <c r="FG63" s="44"/>
      <c r="FH63" s="44"/>
      <c r="FI63" s="44"/>
      <c r="FJ63" s="44"/>
      <c r="FK63" s="44"/>
      <c r="FL63" s="44"/>
      <c r="FM63" s="44"/>
      <c r="FN63" s="44"/>
      <c r="FO63" s="44"/>
      <c r="FP63" s="44"/>
      <c r="FQ63" s="81">
        <f>EL63*0.4</f>
        <v>949.6</v>
      </c>
      <c r="FR63" s="44">
        <f>EQ63*0.2</f>
        <v>216</v>
      </c>
      <c r="FS63" s="82">
        <f>EV63*0.1</f>
        <v>29.5</v>
      </c>
      <c r="FT63" s="44"/>
      <c r="FU63" s="111" t="s">
        <v>632</v>
      </c>
    </row>
    <row r="64" spans="1:184">
      <c r="B64" s="4" t="s">
        <v>678</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220</v>
      </c>
      <c r="X64" s="44">
        <v>209</v>
      </c>
      <c r="Y64" s="44">
        <v>256</v>
      </c>
      <c r="Z64" s="44">
        <v>243</v>
      </c>
      <c r="AA64" s="44">
        <v>239</v>
      </c>
      <c r="AB64" s="44">
        <f>45+58</f>
        <v>103</v>
      </c>
      <c r="AC64" s="44">
        <f>103+151</f>
        <v>254</v>
      </c>
      <c r="AD64" s="44">
        <f>110+156</f>
        <v>266</v>
      </c>
      <c r="AE64" s="44">
        <f>99+180</f>
        <v>279</v>
      </c>
      <c r="AF64" s="44">
        <f>91+200</f>
        <v>291</v>
      </c>
      <c r="AG64" s="44">
        <f>105+199</f>
        <v>304</v>
      </c>
      <c r="AH64" s="44">
        <f>123+230</f>
        <v>353</v>
      </c>
      <c r="AI64" s="68">
        <f>105+228</f>
        <v>333</v>
      </c>
      <c r="AJ64" s="44">
        <f>102+239</f>
        <v>341</v>
      </c>
      <c r="AK64" s="44">
        <f>110+228</f>
        <v>338</v>
      </c>
      <c r="AL64" s="65">
        <v>361</v>
      </c>
      <c r="AM64" s="65">
        <v>337</v>
      </c>
      <c r="AN64" s="69">
        <v>351</v>
      </c>
      <c r="AO64" s="103">
        <v>374</v>
      </c>
      <c r="AP64" s="70">
        <v>391</v>
      </c>
      <c r="AQ64" s="65">
        <v>360</v>
      </c>
      <c r="AR64" s="65">
        <v>389</v>
      </c>
      <c r="AS64" s="65">
        <v>402</v>
      </c>
      <c r="AT64" s="65">
        <v>453</v>
      </c>
      <c r="AU64" s="44">
        <f>135+270</f>
        <v>405</v>
      </c>
      <c r="AV64" s="65">
        <f>118+318</f>
        <v>436</v>
      </c>
      <c r="AW64" s="44">
        <v>450</v>
      </c>
      <c r="AX64" s="65">
        <v>454</v>
      </c>
      <c r="AY64" s="65">
        <v>407</v>
      </c>
      <c r="AZ64" s="44">
        <v>395</v>
      </c>
      <c r="BA64" s="44">
        <v>436</v>
      </c>
      <c r="BB64" s="44">
        <v>499</v>
      </c>
      <c r="BC64" s="65">
        <f>145+277</f>
        <v>422</v>
      </c>
      <c r="BD64" s="44">
        <v>449</v>
      </c>
      <c r="BE64" s="44">
        <v>416</v>
      </c>
      <c r="BF64" s="65">
        <v>462</v>
      </c>
      <c r="BG64" s="44">
        <v>392</v>
      </c>
      <c r="BH64" s="65">
        <v>291</v>
      </c>
      <c r="BI64" s="44">
        <v>277</v>
      </c>
      <c r="BJ64" s="65">
        <v>290</v>
      </c>
      <c r="BK64" s="65">
        <v>227</v>
      </c>
      <c r="BL64" s="44">
        <v>209</v>
      </c>
      <c r="BM64" s="44">
        <v>181</v>
      </c>
      <c r="BN64" s="44">
        <v>189</v>
      </c>
      <c r="BO64" s="44">
        <v>147</v>
      </c>
      <c r="BP64" s="44">
        <v>147</v>
      </c>
      <c r="BQ64" s="44">
        <v>140</v>
      </c>
      <c r="BR64" s="44">
        <v>155</v>
      </c>
      <c r="BS64" s="115">
        <v>119</v>
      </c>
      <c r="BT64" s="44">
        <v>128</v>
      </c>
      <c r="BU64" s="44">
        <v>124</v>
      </c>
      <c r="BV64" s="44">
        <v>124</v>
      </c>
      <c r="BW64" s="115">
        <v>102</v>
      </c>
      <c r="BX64" s="115">
        <v>99</v>
      </c>
      <c r="BY64" s="115">
        <v>98</v>
      </c>
      <c r="BZ64" s="44">
        <v>100</v>
      </c>
      <c r="CA64" s="44">
        <v>89</v>
      </c>
      <c r="CB64" s="44">
        <v>94</v>
      </c>
      <c r="CC64" s="44">
        <v>91</v>
      </c>
      <c r="CD64" s="44">
        <v>90</v>
      </c>
      <c r="CE64" s="44">
        <v>77</v>
      </c>
      <c r="CF64" s="44">
        <v>81</v>
      </c>
      <c r="CG64" s="44">
        <v>83</v>
      </c>
      <c r="CH64" s="44">
        <v>94</v>
      </c>
      <c r="CI64" s="44">
        <v>72</v>
      </c>
      <c r="CJ64" s="44">
        <v>85</v>
      </c>
      <c r="CK64" s="44">
        <v>76</v>
      </c>
      <c r="CL64" s="44">
        <v>85</v>
      </c>
      <c r="CM64" s="44">
        <v>62</v>
      </c>
      <c r="CN64" s="115">
        <v>72</v>
      </c>
      <c r="CO64" s="115">
        <v>68</v>
      </c>
      <c r="CP64" s="115">
        <v>80</v>
      </c>
      <c r="CQ64" s="115">
        <v>61</v>
      </c>
      <c r="CR64" s="115">
        <v>65</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928</v>
      </c>
      <c r="EE64" s="44">
        <v>862</v>
      </c>
      <c r="EF64" s="44">
        <v>1227</v>
      </c>
      <c r="EG64" s="44">
        <v>1372</v>
      </c>
      <c r="EH64" s="44">
        <v>1453</v>
      </c>
      <c r="EI64" s="44">
        <f>SUM(AQ64:AT64)</f>
        <v>1604</v>
      </c>
      <c r="EJ64" s="68">
        <f>SUM(AU64:AX64)</f>
        <v>1745</v>
      </c>
      <c r="EK64" s="65">
        <f t="shared" si="75"/>
        <v>1737</v>
      </c>
      <c r="EL64" s="68">
        <f t="shared" si="83"/>
        <v>1749</v>
      </c>
      <c r="EM64" s="44">
        <f>EL64*0.5</f>
        <v>874.5</v>
      </c>
      <c r="EN64" s="44">
        <f t="shared" si="78"/>
        <v>806</v>
      </c>
      <c r="EO64" s="44">
        <f t="shared" si="79"/>
        <v>589</v>
      </c>
      <c r="EP64" s="44">
        <f t="shared" si="80"/>
        <v>495</v>
      </c>
      <c r="EQ64" s="44">
        <f t="shared" ref="EQ64:ET64" si="84">EP64*0.8</f>
        <v>396</v>
      </c>
      <c r="ER64" s="44">
        <f t="shared" si="84"/>
        <v>316.8</v>
      </c>
      <c r="ES64" s="44">
        <f t="shared" si="84"/>
        <v>253.44000000000003</v>
      </c>
      <c r="ET64" s="44">
        <f t="shared" si="84"/>
        <v>202.75200000000004</v>
      </c>
      <c r="EU64" s="44">
        <f t="shared" si="15"/>
        <v>282</v>
      </c>
      <c r="EV64" s="44">
        <f t="shared" si="3"/>
        <v>126</v>
      </c>
      <c r="EW64" s="44">
        <f t="shared" si="4"/>
        <v>0</v>
      </c>
      <c r="EX64" s="44">
        <f t="shared" si="63"/>
        <v>0</v>
      </c>
      <c r="FQ64" s="81">
        <f>EL64*0.5</f>
        <v>874.5</v>
      </c>
      <c r="FR64" s="44">
        <f>EQ64*0.1</f>
        <v>39.6</v>
      </c>
      <c r="FS64" s="82">
        <v>0</v>
      </c>
    </row>
    <row r="65" spans="2:177" collapsed="1">
      <c r="B65" s="4" t="s">
        <v>679</v>
      </c>
      <c r="C65" s="62"/>
      <c r="D65" s="62"/>
      <c r="E65" s="62"/>
      <c r="F65" s="62"/>
      <c r="G65" s="62" t="s">
        <v>605</v>
      </c>
      <c r="H65" s="62" t="s">
        <v>605</v>
      </c>
      <c r="I65" s="62" t="s">
        <v>605</v>
      </c>
      <c r="J65" s="62" t="s">
        <v>605</v>
      </c>
      <c r="K65" s="62" t="s">
        <v>605</v>
      </c>
      <c r="L65" s="62" t="s">
        <v>605</v>
      </c>
      <c r="M65" s="62" t="s">
        <v>605</v>
      </c>
      <c r="N65" s="62" t="s">
        <v>605</v>
      </c>
      <c r="O65" s="62" t="s">
        <v>605</v>
      </c>
      <c r="P65" s="62" t="s">
        <v>605</v>
      </c>
      <c r="Q65" s="62" t="s">
        <v>605</v>
      </c>
      <c r="R65" s="62" t="s">
        <v>605</v>
      </c>
      <c r="S65" s="62" t="s">
        <v>605</v>
      </c>
      <c r="T65" s="62" t="s">
        <v>605</v>
      </c>
      <c r="U65" s="62" t="s">
        <v>605</v>
      </c>
      <c r="V65" s="62" t="s">
        <v>605</v>
      </c>
      <c r="W65" s="44">
        <v>174</v>
      </c>
      <c r="X65" s="44">
        <v>191</v>
      </c>
      <c r="Y65" s="44">
        <v>197</v>
      </c>
      <c r="Z65" s="44">
        <v>195</v>
      </c>
      <c r="AA65" s="44">
        <v>190</v>
      </c>
      <c r="AB65" s="44">
        <f>77+21</f>
        <v>98</v>
      </c>
      <c r="AC65" s="44">
        <f>160+51</f>
        <v>211</v>
      </c>
      <c r="AD65" s="44">
        <f>176+58</f>
        <v>234</v>
      </c>
      <c r="AE65" s="44">
        <f>145+61</f>
        <v>206</v>
      </c>
      <c r="AF65" s="44">
        <f>115+67</f>
        <v>182</v>
      </c>
      <c r="AG65" s="44">
        <f>166+65</f>
        <v>231</v>
      </c>
      <c r="AH65" s="44">
        <f>207+78</f>
        <v>285</v>
      </c>
      <c r="AI65" s="68">
        <f>180+72</f>
        <v>252</v>
      </c>
      <c r="AJ65" s="44">
        <f>142+80</f>
        <v>222</v>
      </c>
      <c r="AK65" s="44">
        <f>160+71</f>
        <v>231</v>
      </c>
      <c r="AL65" s="65">
        <v>283</v>
      </c>
      <c r="AM65" s="65">
        <v>260</v>
      </c>
      <c r="AN65" s="69">
        <v>255</v>
      </c>
      <c r="AO65" s="70">
        <v>295</v>
      </c>
      <c r="AP65" s="70">
        <v>290</v>
      </c>
      <c r="AQ65" s="65">
        <v>303</v>
      </c>
      <c r="AR65" s="65">
        <v>269</v>
      </c>
      <c r="AS65" s="65">
        <v>294</v>
      </c>
      <c r="AT65" s="65">
        <v>324</v>
      </c>
      <c r="AU65" s="44">
        <f>222+91</f>
        <v>313</v>
      </c>
      <c r="AV65" s="65">
        <f>183+107</f>
        <v>290</v>
      </c>
      <c r="AW65" s="44">
        <v>298</v>
      </c>
      <c r="AX65" s="65">
        <v>313</v>
      </c>
      <c r="AY65" s="65">
        <v>289</v>
      </c>
      <c r="AZ65" s="44">
        <v>273</v>
      </c>
      <c r="BA65" s="44">
        <v>283</v>
      </c>
      <c r="BB65" s="44">
        <v>309</v>
      </c>
      <c r="BC65" s="65">
        <f>176+85</f>
        <v>261</v>
      </c>
      <c r="BD65" s="44">
        <v>260</v>
      </c>
      <c r="BE65" s="44">
        <v>237</v>
      </c>
      <c r="BF65" s="65">
        <v>255</v>
      </c>
      <c r="BG65" s="44">
        <v>225</v>
      </c>
      <c r="BH65" s="65">
        <v>230</v>
      </c>
      <c r="BI65" s="44">
        <v>213</v>
      </c>
      <c r="BJ65" s="65">
        <v>215</v>
      </c>
      <c r="BK65" s="65">
        <v>195</v>
      </c>
      <c r="BL65" s="44">
        <v>205</v>
      </c>
      <c r="BM65" s="44">
        <v>176</v>
      </c>
      <c r="BN65" s="44">
        <v>185</v>
      </c>
      <c r="BO65" s="44">
        <v>151</v>
      </c>
      <c r="BP65" s="44">
        <v>155</v>
      </c>
      <c r="BQ65" s="44">
        <v>131</v>
      </c>
      <c r="BR65" s="44">
        <v>125</v>
      </c>
      <c r="BS65" s="115"/>
      <c r="BT65" s="44">
        <v>57</v>
      </c>
      <c r="BU65" s="44"/>
      <c r="BV65" s="44"/>
      <c r="BW65" s="115"/>
      <c r="BX65" s="115"/>
      <c r="BY65" s="115"/>
      <c r="BZ65" s="44"/>
      <c r="CA65" s="44"/>
      <c r="CB65" s="44"/>
      <c r="CC65" s="44"/>
      <c r="CD65" s="44"/>
      <c r="CE65" s="44"/>
      <c r="CF65" s="44"/>
      <c r="CG65" s="44"/>
      <c r="CH65" s="44"/>
      <c r="CI65" s="44"/>
      <c r="CJ65" s="44"/>
      <c r="CK65" s="44">
        <v>0</v>
      </c>
      <c r="CL65" s="44">
        <v>0</v>
      </c>
      <c r="CM65" s="44">
        <v>0</v>
      </c>
      <c r="CN65" s="115">
        <v>0</v>
      </c>
      <c r="CO65" s="115">
        <v>0</v>
      </c>
      <c r="CP65" s="115">
        <v>0</v>
      </c>
      <c r="CQ65" s="115">
        <v>0</v>
      </c>
      <c r="CR65" s="115">
        <v>0</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t="s">
        <v>605</v>
      </c>
      <c r="DW65" s="68" t="s">
        <v>605</v>
      </c>
      <c r="DX65" s="68" t="s">
        <v>605</v>
      </c>
      <c r="DY65" s="68" t="s">
        <v>605</v>
      </c>
      <c r="DZ65" s="68" t="s">
        <v>605</v>
      </c>
      <c r="EA65" s="68" t="s">
        <v>605</v>
      </c>
      <c r="EB65" s="68" t="s">
        <v>605</v>
      </c>
      <c r="EC65" s="68" t="s">
        <v>605</v>
      </c>
      <c r="ED65" s="44">
        <v>757</v>
      </c>
      <c r="EE65" s="44">
        <v>544</v>
      </c>
      <c r="EF65" s="44">
        <v>904</v>
      </c>
      <c r="EG65" s="44">
        <v>988</v>
      </c>
      <c r="EH65" s="44">
        <v>1100</v>
      </c>
      <c r="EI65" s="44">
        <f>SUM(AQ65:AT65)</f>
        <v>1190</v>
      </c>
      <c r="EJ65" s="44">
        <f>SUM(AU65:AX65)</f>
        <v>1214</v>
      </c>
      <c r="EK65" s="65">
        <f t="shared" si="75"/>
        <v>1154</v>
      </c>
      <c r="EL65" s="68">
        <f t="shared" si="83"/>
        <v>1013</v>
      </c>
      <c r="EM65" s="44">
        <f>SUM(BG65:BJ65)</f>
        <v>883</v>
      </c>
      <c r="EN65" s="44">
        <f t="shared" si="78"/>
        <v>761</v>
      </c>
      <c r="EO65" s="44">
        <f t="shared" si="79"/>
        <v>562</v>
      </c>
      <c r="EP65" s="44">
        <f t="shared" si="80"/>
        <v>57</v>
      </c>
      <c r="EQ65" s="44">
        <f>EP65*0.3</f>
        <v>17.099999999999998</v>
      </c>
      <c r="ER65" s="44">
        <f>EQ65*0.3</f>
        <v>5.129999999999999</v>
      </c>
      <c r="ES65" s="44">
        <f>ER65*0.3</f>
        <v>1.5389999999999997</v>
      </c>
      <c r="ET65" s="44">
        <f>ES65*0.3</f>
        <v>0.46169999999999989</v>
      </c>
      <c r="EU65" s="44">
        <f t="shared" si="15"/>
        <v>0</v>
      </c>
      <c r="EV65" s="44">
        <f t="shared" si="3"/>
        <v>0</v>
      </c>
      <c r="EW65" s="44">
        <f t="shared" si="4"/>
        <v>0</v>
      </c>
      <c r="EX65" s="44">
        <f t="shared" si="63"/>
        <v>0</v>
      </c>
      <c r="FQ65" s="81">
        <f>EL65*0.3</f>
        <v>303.89999999999998</v>
      </c>
      <c r="FR65" s="44">
        <f t="shared" ref="FR65" si="85">EQ65*0.1</f>
        <v>1.71</v>
      </c>
      <c r="FS65" s="82">
        <v>0</v>
      </c>
      <c r="FU65" s="4" t="s">
        <v>680</v>
      </c>
    </row>
    <row r="66" spans="2:177" collapsed="1">
      <c r="B66" s="14" t="s">
        <v>684</v>
      </c>
      <c r="C66" s="37">
        <v>394</v>
      </c>
      <c r="D66" s="37">
        <v>323</v>
      </c>
      <c r="E66" s="37">
        <v>395</v>
      </c>
      <c r="F66" s="44">
        <f>DY66-E66-D66-C66</f>
        <v>395</v>
      </c>
      <c r="G66" s="37">
        <f>373+79</f>
        <v>452</v>
      </c>
      <c r="H66" s="37">
        <f>305+85</f>
        <v>390</v>
      </c>
      <c r="I66" s="37">
        <f>394+86</f>
        <v>480</v>
      </c>
      <c r="J66" s="37">
        <f>379+102</f>
        <v>481</v>
      </c>
      <c r="K66" s="37">
        <f>425+92</f>
        <v>517</v>
      </c>
      <c r="L66" s="37">
        <f>353+100</f>
        <v>453</v>
      </c>
      <c r="M66" s="37">
        <f>416+104</f>
        <v>520</v>
      </c>
      <c r="N66" s="37">
        <f>405+102</f>
        <v>507</v>
      </c>
      <c r="O66" s="37">
        <f>419+95</f>
        <v>514</v>
      </c>
      <c r="P66" s="37">
        <f>383+101</f>
        <v>484</v>
      </c>
      <c r="Q66" s="37">
        <f>459+96</f>
        <v>555</v>
      </c>
      <c r="R66" s="37">
        <f>485+102</f>
        <v>587</v>
      </c>
      <c r="S66" s="37">
        <f>503+105</f>
        <v>608</v>
      </c>
      <c r="T66" s="37">
        <f>410+105</f>
        <v>515</v>
      </c>
      <c r="U66" s="37">
        <f>490+108</f>
        <v>598</v>
      </c>
      <c r="V66" s="37">
        <f>526+120</f>
        <v>646</v>
      </c>
      <c r="W66" s="44">
        <f>630+110</f>
        <v>740</v>
      </c>
      <c r="X66" s="44">
        <f>456+118</f>
        <v>574</v>
      </c>
      <c r="Y66" s="44">
        <f>524+129</f>
        <v>653</v>
      </c>
      <c r="Z66" s="44">
        <f>636+139</f>
        <v>775</v>
      </c>
      <c r="AA66" s="44">
        <f>620+138</f>
        <v>758</v>
      </c>
      <c r="AB66" s="44">
        <f>480+150</f>
        <v>630</v>
      </c>
      <c r="AC66" s="44">
        <f>676+155</f>
        <v>831</v>
      </c>
      <c r="AD66" s="44">
        <f>726+172</f>
        <v>898</v>
      </c>
      <c r="AE66" s="44">
        <f>644+166</f>
        <v>810</v>
      </c>
      <c r="AF66" s="44">
        <f>608+181</f>
        <v>789</v>
      </c>
      <c r="AG66" s="44">
        <f>637+165</f>
        <v>802</v>
      </c>
      <c r="AH66" s="44">
        <f>768+191</f>
        <v>959</v>
      </c>
      <c r="AI66" s="68">
        <f>661+184</f>
        <v>845</v>
      </c>
      <c r="AJ66" s="44">
        <f>613+183</f>
        <v>796</v>
      </c>
      <c r="AK66" s="44">
        <f>647+160</f>
        <v>807</v>
      </c>
      <c r="AL66" s="65">
        <v>808</v>
      </c>
      <c r="AM66" s="65">
        <v>779</v>
      </c>
      <c r="AN66" s="69">
        <v>706</v>
      </c>
      <c r="AO66" s="103">
        <v>459</v>
      </c>
      <c r="AP66" s="70">
        <v>166</v>
      </c>
      <c r="AQ66" s="65">
        <v>146</v>
      </c>
      <c r="AR66" s="65">
        <v>127</v>
      </c>
      <c r="AS66" s="65">
        <v>124</v>
      </c>
      <c r="AT66" s="65">
        <v>134</v>
      </c>
      <c r="AU66" s="44">
        <f>26+96</f>
        <v>122</v>
      </c>
      <c r="AV66" s="65">
        <f>42+109</f>
        <v>151</v>
      </c>
      <c r="AW66" s="44">
        <v>135</v>
      </c>
      <c r="AX66" s="65">
        <v>131</v>
      </c>
      <c r="AY66" s="65">
        <v>115</v>
      </c>
      <c r="AZ66" s="44">
        <v>125</v>
      </c>
      <c r="BA66" s="44">
        <v>128</v>
      </c>
      <c r="BB66" s="44">
        <v>148</v>
      </c>
      <c r="BC66" s="65">
        <f>17+103</f>
        <v>120</v>
      </c>
      <c r="BD66" s="44">
        <v>144</v>
      </c>
      <c r="BE66" s="44">
        <v>126</v>
      </c>
      <c r="BF66" s="65">
        <v>142</v>
      </c>
      <c r="BG66" s="44">
        <v>135</v>
      </c>
      <c r="BH66" s="65">
        <v>146</v>
      </c>
      <c r="BI66" s="44">
        <v>139</v>
      </c>
      <c r="BJ66" s="65">
        <v>153</v>
      </c>
      <c r="BK66" s="65">
        <v>130</v>
      </c>
      <c r="BL66" s="44">
        <v>139</v>
      </c>
      <c r="BM66" s="44">
        <v>129</v>
      </c>
      <c r="BN66" s="44">
        <v>143</v>
      </c>
      <c r="BO66" s="44">
        <v>116</v>
      </c>
      <c r="BP66" s="44">
        <v>109</v>
      </c>
      <c r="BQ66" s="44">
        <v>116</v>
      </c>
      <c r="BR66" s="44">
        <v>128</v>
      </c>
      <c r="BS66" s="115">
        <v>101</v>
      </c>
      <c r="BT66" s="44">
        <v>104</v>
      </c>
      <c r="BU66" s="44">
        <v>104</v>
      </c>
      <c r="BV66" s="44">
        <v>113</v>
      </c>
      <c r="BW66" s="115">
        <v>86</v>
      </c>
      <c r="BX66" s="115">
        <v>93</v>
      </c>
      <c r="BY66" s="115">
        <v>95</v>
      </c>
      <c r="BZ66" s="44">
        <v>100</v>
      </c>
      <c r="CA66" s="44">
        <v>79</v>
      </c>
      <c r="CB66" s="44">
        <v>77</v>
      </c>
      <c r="CC66" s="44">
        <v>72</v>
      </c>
      <c r="CD66" s="44">
        <v>76</v>
      </c>
      <c r="CE66" s="44">
        <v>68</v>
      </c>
      <c r="CF66" s="44">
        <v>69</v>
      </c>
      <c r="CG66" s="44">
        <v>78</v>
      </c>
      <c r="CH66" s="44">
        <v>76</v>
      </c>
      <c r="CI66" s="44">
        <v>74</v>
      </c>
      <c r="CJ66" s="44">
        <v>77</v>
      </c>
      <c r="CK66" s="44">
        <v>72</v>
      </c>
      <c r="CL66" s="44">
        <v>75</v>
      </c>
      <c r="CM66" s="44">
        <v>69</v>
      </c>
      <c r="CN66" s="115">
        <v>73</v>
      </c>
      <c r="CO66" s="115">
        <v>74</v>
      </c>
      <c r="CP66" s="115">
        <v>78</v>
      </c>
      <c r="CQ66" s="115">
        <v>78</v>
      </c>
      <c r="CR66" s="115">
        <v>79</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v>718</v>
      </c>
      <c r="DW66" s="44">
        <v>1037</v>
      </c>
      <c r="DX66" s="44">
        <v>1337</v>
      </c>
      <c r="DY66" s="44">
        <f>1220+287</f>
        <v>1507</v>
      </c>
      <c r="DZ66" s="44">
        <v>1803</v>
      </c>
      <c r="EA66" s="44">
        <v>1997</v>
      </c>
      <c r="EB66" s="44">
        <v>2140</v>
      </c>
      <c r="EC66" s="44">
        <v>2365</v>
      </c>
      <c r="ED66" s="44">
        <v>2742</v>
      </c>
      <c r="EE66" s="44">
        <v>3117</v>
      </c>
      <c r="EF66" s="44">
        <v>3361</v>
      </c>
      <c r="EG66" s="44">
        <v>3256</v>
      </c>
      <c r="EH66" s="44">
        <v>2110</v>
      </c>
      <c r="EI66" s="44">
        <f>SUM(AQ66:AT66)</f>
        <v>531</v>
      </c>
      <c r="EJ66" s="44">
        <f>SUM(AU66:AX66)</f>
        <v>539</v>
      </c>
      <c r="EK66" s="65">
        <f t="shared" si="75"/>
        <v>516</v>
      </c>
      <c r="EL66" s="44">
        <f t="shared" si="83"/>
        <v>532</v>
      </c>
      <c r="EM66" s="44">
        <f>SUM(BG66:BJ66)</f>
        <v>573</v>
      </c>
      <c r="EN66" s="44">
        <f t="shared" si="78"/>
        <v>541</v>
      </c>
      <c r="EO66" s="44">
        <f t="shared" si="79"/>
        <v>469</v>
      </c>
      <c r="EP66" s="44">
        <f t="shared" si="80"/>
        <v>422</v>
      </c>
      <c r="EQ66" s="44">
        <f t="shared" ref="EQ66:ET66" si="86">EP66*0.9</f>
        <v>379.8</v>
      </c>
      <c r="ER66" s="44">
        <f t="shared" si="86"/>
        <v>341.82</v>
      </c>
      <c r="ES66" s="44">
        <f t="shared" si="86"/>
        <v>307.63799999999998</v>
      </c>
      <c r="ET66" s="44">
        <f t="shared" si="86"/>
        <v>276.87419999999997</v>
      </c>
      <c r="EU66" s="44">
        <f t="shared" si="15"/>
        <v>294</v>
      </c>
      <c r="EV66" s="44">
        <f t="shared" si="3"/>
        <v>157</v>
      </c>
      <c r="EW66" s="44">
        <f t="shared" si="4"/>
        <v>0</v>
      </c>
      <c r="EX66" s="44">
        <f t="shared" si="63"/>
        <v>0</v>
      </c>
      <c r="FQ66" s="81">
        <f>EL66*0.2</f>
        <v>106.4</v>
      </c>
      <c r="FR66" s="44">
        <f>EQ66*0.1</f>
        <v>37.980000000000004</v>
      </c>
      <c r="FS66" s="82">
        <f>EV66*0.1</f>
        <v>15.700000000000001</v>
      </c>
      <c r="FU66" s="14" t="s">
        <v>685</v>
      </c>
    </row>
    <row r="67" spans="2:177">
      <c r="B67" s="14" t="s">
        <v>686</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8" t="s">
        <v>605</v>
      </c>
      <c r="X67" s="68" t="s">
        <v>605</v>
      </c>
      <c r="Y67" s="68" t="s">
        <v>605</v>
      </c>
      <c r="Z67" s="68" t="s">
        <v>605</v>
      </c>
      <c r="AA67" s="68" t="s">
        <v>605</v>
      </c>
      <c r="AB67" s="68" t="s">
        <v>605</v>
      </c>
      <c r="AC67" s="68" t="s">
        <v>605</v>
      </c>
      <c r="AD67" s="68" t="s">
        <v>605</v>
      </c>
      <c r="AE67" s="68" t="s">
        <v>605</v>
      </c>
      <c r="AF67" s="68" t="s">
        <v>605</v>
      </c>
      <c r="AG67" s="68" t="s">
        <v>605</v>
      </c>
      <c r="AH67" s="68" t="s">
        <v>605</v>
      </c>
      <c r="AI67" s="68" t="s">
        <v>605</v>
      </c>
      <c r="AJ67" s="68" t="s">
        <v>605</v>
      </c>
      <c r="AK67" s="68" t="s">
        <v>605</v>
      </c>
      <c r="AL67" s="70" t="s">
        <v>605</v>
      </c>
      <c r="AM67" s="70" t="s">
        <v>605</v>
      </c>
      <c r="AN67" s="103" t="s">
        <v>605</v>
      </c>
      <c r="AO67" s="103" t="s">
        <v>605</v>
      </c>
      <c r="AP67" s="70" t="s">
        <v>605</v>
      </c>
      <c r="AQ67" s="75" t="s">
        <v>687</v>
      </c>
      <c r="AR67" s="75" t="s">
        <v>688</v>
      </c>
      <c r="AS67" s="75" t="s">
        <v>689</v>
      </c>
      <c r="AT67" s="75" t="s">
        <v>690</v>
      </c>
      <c r="AU67" s="73" t="s">
        <v>691</v>
      </c>
      <c r="AV67" s="75" t="s">
        <v>692</v>
      </c>
      <c r="AW67" s="73" t="s">
        <v>693</v>
      </c>
      <c r="AX67" s="75" t="s">
        <v>694</v>
      </c>
      <c r="AY67" s="75" t="s">
        <v>695</v>
      </c>
      <c r="AZ67" s="73" t="s">
        <v>696</v>
      </c>
      <c r="BA67" s="73" t="s">
        <v>697</v>
      </c>
      <c r="BB67" s="44">
        <v>184</v>
      </c>
      <c r="BC67" s="65">
        <f>178+86</f>
        <v>264</v>
      </c>
      <c r="BD67" s="44">
        <v>230</v>
      </c>
      <c r="BE67" s="44">
        <v>255</v>
      </c>
      <c r="BF67" s="65">
        <v>203</v>
      </c>
      <c r="BG67" s="44">
        <v>179</v>
      </c>
      <c r="BH67" s="65">
        <v>162</v>
      </c>
      <c r="BI67" s="44">
        <v>149</v>
      </c>
      <c r="BJ67" s="65">
        <v>146</v>
      </c>
      <c r="BK67" s="65">
        <v>128</v>
      </c>
      <c r="BL67" s="68">
        <v>141</v>
      </c>
      <c r="BM67" s="68">
        <v>109</v>
      </c>
      <c r="BN67" s="68">
        <v>106</v>
      </c>
      <c r="BO67" s="68">
        <v>87</v>
      </c>
      <c r="BP67" s="68">
        <v>102</v>
      </c>
      <c r="BQ67" s="68">
        <v>104</v>
      </c>
      <c r="BR67" s="68">
        <v>102</v>
      </c>
      <c r="BS67" s="115">
        <v>74</v>
      </c>
      <c r="BT67" s="44">
        <v>75</v>
      </c>
      <c r="BU67" s="44"/>
      <c r="BV67" s="44"/>
      <c r="BW67" s="115"/>
      <c r="BX67" s="115"/>
      <c r="BY67" s="115"/>
      <c r="BZ67" s="44"/>
      <c r="CA67" s="44"/>
      <c r="CB67" s="44"/>
      <c r="CC67" s="44"/>
      <c r="CD67" s="44">
        <v>38</v>
      </c>
      <c r="CE67" s="44">
        <v>37</v>
      </c>
      <c r="CF67" s="44">
        <v>40</v>
      </c>
      <c r="CG67" s="44"/>
      <c r="CH67" s="44">
        <v>69</v>
      </c>
      <c r="CI67" s="44">
        <v>61</v>
      </c>
      <c r="CJ67" s="44">
        <v>58</v>
      </c>
      <c r="CK67" s="44">
        <v>56</v>
      </c>
      <c r="CL67" s="44">
        <v>54</v>
      </c>
      <c r="CM67" s="44">
        <v>0</v>
      </c>
      <c r="CN67" s="115">
        <v>0</v>
      </c>
      <c r="CO67" s="115">
        <v>49</v>
      </c>
      <c r="CP67" s="115">
        <v>47</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t="s">
        <v>605</v>
      </c>
      <c r="EE67" s="68" t="s">
        <v>605</v>
      </c>
      <c r="EF67" s="68" t="s">
        <v>605</v>
      </c>
      <c r="EG67" s="68" t="s">
        <v>605</v>
      </c>
      <c r="EH67" s="73" t="s">
        <v>698</v>
      </c>
      <c r="EI67" s="73" t="s">
        <v>699</v>
      </c>
      <c r="EJ67" s="73" t="s">
        <v>700</v>
      </c>
      <c r="EK67" s="75">
        <f t="shared" si="75"/>
        <v>184</v>
      </c>
      <c r="EL67" s="68">
        <f t="shared" si="83"/>
        <v>952</v>
      </c>
      <c r="EM67" s="44">
        <f>SUM(BG67:BJ67)</f>
        <v>636</v>
      </c>
      <c r="EN67" s="44">
        <f t="shared" si="78"/>
        <v>484</v>
      </c>
      <c r="EO67" s="44">
        <f t="shared" si="79"/>
        <v>395</v>
      </c>
      <c r="EP67" s="44">
        <f t="shared" si="80"/>
        <v>149</v>
      </c>
      <c r="EQ67" s="44">
        <f t="shared" ref="EQ67:ET67" si="87">EP67*0.7</f>
        <v>104.3</v>
      </c>
      <c r="ER67" s="44">
        <f t="shared" si="87"/>
        <v>73.009999999999991</v>
      </c>
      <c r="ES67" s="44">
        <f t="shared" si="87"/>
        <v>51.106999999999992</v>
      </c>
      <c r="ET67" s="44">
        <f t="shared" si="87"/>
        <v>35.774899999999995</v>
      </c>
      <c r="EU67" s="44">
        <f t="shared" si="15"/>
        <v>96</v>
      </c>
      <c r="EV67" s="44">
        <f t="shared" si="3"/>
        <v>0</v>
      </c>
      <c r="EW67" s="44">
        <f t="shared" si="4"/>
        <v>0</v>
      </c>
      <c r="EX67" s="44">
        <f t="shared" si="63"/>
        <v>0</v>
      </c>
      <c r="FQ67" s="81">
        <f>EL67*0.6</f>
        <v>571.19999999999993</v>
      </c>
      <c r="FR67" s="44">
        <f>EQ67*0.1</f>
        <v>10.43</v>
      </c>
      <c r="FS67" s="82">
        <v>0</v>
      </c>
    </row>
    <row r="68" spans="2:177">
      <c r="B68" s="4" t="s">
        <v>703</v>
      </c>
      <c r="C68" s="62"/>
      <c r="D68" s="62"/>
      <c r="E68" s="62"/>
      <c r="F68" s="62"/>
      <c r="G68" s="62" t="s">
        <v>605</v>
      </c>
      <c r="H68" s="62" t="s">
        <v>605</v>
      </c>
      <c r="I68" s="62" t="s">
        <v>605</v>
      </c>
      <c r="J68" s="62" t="s">
        <v>605</v>
      </c>
      <c r="K68" s="62" t="s">
        <v>605</v>
      </c>
      <c r="L68" s="62" t="s">
        <v>605</v>
      </c>
      <c r="M68" s="62" t="s">
        <v>605</v>
      </c>
      <c r="N68" s="62" t="s">
        <v>605</v>
      </c>
      <c r="O68" s="62" t="s">
        <v>605</v>
      </c>
      <c r="P68" s="62" t="s">
        <v>605</v>
      </c>
      <c r="Q68" s="62" t="s">
        <v>605</v>
      </c>
      <c r="R68" s="62" t="s">
        <v>605</v>
      </c>
      <c r="S68" s="62" t="s">
        <v>605</v>
      </c>
      <c r="T68" s="62" t="s">
        <v>605</v>
      </c>
      <c r="U68" s="62" t="s">
        <v>605</v>
      </c>
      <c r="V68" s="62" t="s">
        <v>605</v>
      </c>
      <c r="W68" s="62">
        <v>0</v>
      </c>
      <c r="X68" s="62">
        <v>4</v>
      </c>
      <c r="Y68" s="62">
        <v>0</v>
      </c>
      <c r="Z68" s="62">
        <v>0</v>
      </c>
      <c r="AA68" s="37">
        <f>25+7</f>
        <v>32</v>
      </c>
      <c r="AB68" s="37">
        <f>0+9</f>
        <v>9</v>
      </c>
      <c r="AC68" s="37">
        <f>4+11</f>
        <v>15</v>
      </c>
      <c r="AD68" s="37">
        <f>14+14</f>
        <v>28</v>
      </c>
      <c r="AE68" s="44">
        <f>16+14</f>
        <v>30</v>
      </c>
      <c r="AF68" s="44">
        <f>21+17</f>
        <v>38</v>
      </c>
      <c r="AG68" s="44">
        <f>29+18</f>
        <v>47</v>
      </c>
      <c r="AH68" s="44">
        <f>33+21</f>
        <v>54</v>
      </c>
      <c r="AI68" s="68">
        <f>32+21</f>
        <v>53</v>
      </c>
      <c r="AJ68" s="44">
        <f>28+22</f>
        <v>50</v>
      </c>
      <c r="AK68" s="37">
        <f>44+23</f>
        <v>67</v>
      </c>
      <c r="AL68" s="65">
        <v>63</v>
      </c>
      <c r="AM68" s="65">
        <v>66</v>
      </c>
      <c r="AN68" s="69">
        <v>67</v>
      </c>
      <c r="AO68" s="69">
        <v>72</v>
      </c>
      <c r="AP68" s="103">
        <v>81</v>
      </c>
      <c r="AQ68" s="65">
        <v>83</v>
      </c>
      <c r="AR68" s="65">
        <v>66</v>
      </c>
      <c r="AS68" s="65">
        <v>81</v>
      </c>
      <c r="AT68" s="65">
        <v>85</v>
      </c>
      <c r="AU68" s="44">
        <f>49+28</f>
        <v>77</v>
      </c>
      <c r="AV68" s="65">
        <v>80</v>
      </c>
      <c r="AW68" s="44">
        <v>83</v>
      </c>
      <c r="AX68" s="65">
        <v>81</v>
      </c>
      <c r="AY68" s="65">
        <v>79</v>
      </c>
      <c r="AZ68" s="44">
        <v>75</v>
      </c>
      <c r="BA68" s="44">
        <v>81</v>
      </c>
      <c r="BB68" s="44"/>
      <c r="BC68" s="65"/>
      <c r="BD68" s="44"/>
      <c r="BE68" s="44">
        <v>75</v>
      </c>
      <c r="BF68" s="65">
        <v>84</v>
      </c>
      <c r="BG68" s="44"/>
      <c r="BH68" s="65">
        <v>84</v>
      </c>
      <c r="BI68" s="44">
        <v>86</v>
      </c>
      <c r="BJ68" s="65">
        <v>91</v>
      </c>
      <c r="BK68" s="65">
        <v>85</v>
      </c>
      <c r="BL68" s="44">
        <v>89</v>
      </c>
      <c r="BM68" s="44">
        <v>92</v>
      </c>
      <c r="BN68" s="44">
        <v>102</v>
      </c>
      <c r="BO68" s="44">
        <v>86</v>
      </c>
      <c r="BP68" s="44">
        <v>94</v>
      </c>
      <c r="BQ68" s="44">
        <v>83</v>
      </c>
      <c r="BR68" s="44">
        <v>96</v>
      </c>
      <c r="BS68" s="115">
        <v>87</v>
      </c>
      <c r="BT68" s="44">
        <v>98</v>
      </c>
      <c r="BU68" s="44">
        <v>92</v>
      </c>
      <c r="BV68" s="44">
        <v>105</v>
      </c>
      <c r="BW68" s="115">
        <v>80</v>
      </c>
      <c r="BX68" s="115">
        <v>82</v>
      </c>
      <c r="BY68" s="115">
        <v>91</v>
      </c>
      <c r="BZ68" s="44">
        <v>98</v>
      </c>
      <c r="CA68" s="44">
        <v>78</v>
      </c>
      <c r="CB68" s="44">
        <v>87</v>
      </c>
      <c r="CC68" s="44">
        <v>83</v>
      </c>
      <c r="CD68" s="44">
        <v>75</v>
      </c>
      <c r="CE68" s="196"/>
      <c r="CF68" s="196"/>
      <c r="CG68" s="44">
        <v>50</v>
      </c>
      <c r="CH68" s="44">
        <v>43</v>
      </c>
      <c r="CI68" s="196"/>
      <c r="CJ68" s="196"/>
      <c r="CK68" s="196"/>
      <c r="CL68" s="196"/>
      <c r="CM68" s="196"/>
      <c r="CN68" s="196"/>
      <c r="CO68" s="196"/>
      <c r="CP68" s="196"/>
      <c r="CQ68" s="196"/>
      <c r="CR68" s="196"/>
      <c r="CS68" s="196"/>
      <c r="CT68" s="115">
        <v>0</v>
      </c>
      <c r="CU68" s="115">
        <v>0</v>
      </c>
      <c r="CV68" s="115">
        <v>0</v>
      </c>
      <c r="CW68" s="115">
        <v>0</v>
      </c>
      <c r="CX68" s="115">
        <v>0</v>
      </c>
      <c r="CY68" s="115">
        <v>0</v>
      </c>
      <c r="CZ68" s="115"/>
      <c r="DA68" s="115"/>
      <c r="DB68" s="115"/>
      <c r="DC68" s="115"/>
      <c r="DD68" s="115"/>
      <c r="DE68" s="115"/>
      <c r="DF68" s="115"/>
      <c r="DG68" s="115"/>
      <c r="DH68" s="115"/>
      <c r="DI68" s="115"/>
      <c r="DJ68" s="115"/>
      <c r="DK68" s="115"/>
      <c r="DL68" s="115"/>
      <c r="DM68" s="115"/>
      <c r="DN68" s="115"/>
      <c r="DO68" s="115"/>
      <c r="DP68" s="44"/>
      <c r="DQ68" s="44"/>
      <c r="DU68" s="68"/>
      <c r="DV68" s="68" t="s">
        <v>605</v>
      </c>
      <c r="DW68" s="68" t="s">
        <v>605</v>
      </c>
      <c r="DX68" s="68" t="s">
        <v>605</v>
      </c>
      <c r="DY68" s="68" t="s">
        <v>605</v>
      </c>
      <c r="DZ68" s="68" t="s">
        <v>605</v>
      </c>
      <c r="EA68" s="68" t="s">
        <v>605</v>
      </c>
      <c r="EB68" s="68" t="s">
        <v>605</v>
      </c>
      <c r="EC68" s="68" t="s">
        <v>605</v>
      </c>
      <c r="ED68" s="68">
        <f>SUM(W68:Z68)</f>
        <v>4</v>
      </c>
      <c r="EE68" s="68">
        <f>SUM(AA68:AD68)</f>
        <v>84</v>
      </c>
      <c r="EF68" s="68">
        <f>SUM(AE68:AH68)</f>
        <v>169</v>
      </c>
      <c r="EG68" s="44">
        <v>233</v>
      </c>
      <c r="EH68" s="44">
        <v>286</v>
      </c>
      <c r="EI68" s="44">
        <f>SUM(AQ68:AT68)</f>
        <v>315</v>
      </c>
      <c r="EJ68" s="44">
        <f>SUM(AU68:AX68)</f>
        <v>321</v>
      </c>
      <c r="EK68" s="65">
        <f t="shared" si="75"/>
        <v>235</v>
      </c>
      <c r="EN68" s="44">
        <f t="shared" si="78"/>
        <v>368</v>
      </c>
      <c r="EO68" s="44">
        <f t="shared" si="79"/>
        <v>359</v>
      </c>
      <c r="EP68" s="44">
        <f t="shared" si="80"/>
        <v>382</v>
      </c>
      <c r="EQ68" s="44">
        <f t="shared" ref="EQ68:ET68" si="88">+EP68*0.9</f>
        <v>343.8</v>
      </c>
      <c r="ER68" s="44">
        <f t="shared" si="88"/>
        <v>309.42</v>
      </c>
      <c r="ES68" s="44">
        <f t="shared" si="88"/>
        <v>278.47800000000001</v>
      </c>
      <c r="ET68" s="44">
        <f t="shared" si="88"/>
        <v>250.6302</v>
      </c>
      <c r="EU68" s="44">
        <f t="shared" si="15"/>
        <v>0</v>
      </c>
      <c r="EV68" s="44">
        <f t="shared" si="3"/>
        <v>0</v>
      </c>
      <c r="EW68" s="44">
        <f t="shared" si="4"/>
        <v>0</v>
      </c>
      <c r="EX68" s="44">
        <f t="shared" si="63"/>
        <v>0</v>
      </c>
      <c r="FS68" s="82">
        <f>+EV68*0.5</f>
        <v>0</v>
      </c>
    </row>
    <row r="69" spans="2:177" s="23" customFormat="1">
      <c r="B69" s="111" t="s">
        <v>633</v>
      </c>
      <c r="C69" s="44">
        <v>49</v>
      </c>
      <c r="D69" s="44">
        <v>151</v>
      </c>
      <c r="E69" s="44">
        <v>257</v>
      </c>
      <c r="F69" s="44">
        <v>408</v>
      </c>
      <c r="G69" s="44">
        <f>289+86</f>
        <v>375</v>
      </c>
      <c r="H69" s="44">
        <f>407+129</f>
        <v>536</v>
      </c>
      <c r="I69" s="44">
        <f>427+151</f>
        <v>578</v>
      </c>
      <c r="J69" s="44">
        <f>521+198</f>
        <v>719</v>
      </c>
      <c r="K69" s="68">
        <f>533+234</f>
        <v>767</v>
      </c>
      <c r="L69" s="68">
        <f>642+258</f>
        <v>900</v>
      </c>
      <c r="M69" s="68">
        <f>730+265</f>
        <v>995</v>
      </c>
      <c r="N69" s="68">
        <f>809+325</f>
        <v>1134</v>
      </c>
      <c r="O69" s="68">
        <f>797+322</f>
        <v>1119</v>
      </c>
      <c r="P69" s="68">
        <f>852+410</f>
        <v>1262</v>
      </c>
      <c r="Q69" s="68">
        <f>843+373</f>
        <v>1216</v>
      </c>
      <c r="R69" s="68">
        <f>1044+390</f>
        <v>1434</v>
      </c>
      <c r="S69" s="68">
        <f>1039+428</f>
        <v>1467</v>
      </c>
      <c r="T69" s="68">
        <f>977+462</f>
        <v>1439</v>
      </c>
      <c r="U69" s="68">
        <f>1132+528</f>
        <v>1660</v>
      </c>
      <c r="V69" s="68">
        <f>1275+608</f>
        <v>1883</v>
      </c>
      <c r="W69" s="68">
        <f>1299+553</f>
        <v>1852</v>
      </c>
      <c r="X69" s="68">
        <f>1151+632</f>
        <v>1783</v>
      </c>
      <c r="Y69" s="68">
        <f>1350+670</f>
        <v>2020</v>
      </c>
      <c r="Z69" s="68">
        <f>1536+781</f>
        <v>2317</v>
      </c>
      <c r="AA69" s="68">
        <f>1380+719</f>
        <v>2099</v>
      </c>
      <c r="AB69" s="68">
        <f>1186+829</f>
        <v>2015</v>
      </c>
      <c r="AC69" s="68">
        <f>1576+892</f>
        <v>2468</v>
      </c>
      <c r="AD69" s="68">
        <f>1684+964</f>
        <v>2648</v>
      </c>
      <c r="AE69" s="68">
        <f>1573+924</f>
        <v>2497</v>
      </c>
      <c r="AF69" s="68">
        <f>1313+1050</f>
        <v>2363</v>
      </c>
      <c r="AG69" s="68">
        <f>1725+1013</f>
        <v>2738</v>
      </c>
      <c r="AH69" s="68">
        <f>2023+1241</f>
        <v>3264</v>
      </c>
      <c r="AI69" s="68">
        <f>1913+1162</f>
        <v>3075</v>
      </c>
      <c r="AJ69" s="68">
        <f>1680+1178</f>
        <v>2858</v>
      </c>
      <c r="AK69" s="68">
        <f>1739+1158</f>
        <v>2897</v>
      </c>
      <c r="AL69" s="70">
        <v>3357</v>
      </c>
      <c r="AM69" s="70">
        <v>3107</v>
      </c>
      <c r="AN69" s="70">
        <v>3123</v>
      </c>
      <c r="AO69" s="70">
        <v>3321</v>
      </c>
      <c r="AP69" s="70">
        <f>EH69-AO69-AN69-AM69</f>
        <v>3335</v>
      </c>
      <c r="AQ69" s="70">
        <f>2137+1221</f>
        <v>3358</v>
      </c>
      <c r="AR69" s="70">
        <v>2719</v>
      </c>
      <c r="AS69" s="70">
        <f>1810+1360</f>
        <v>3170</v>
      </c>
      <c r="AT69" s="70">
        <v>3428</v>
      </c>
      <c r="AU69" s="68">
        <f>1751+1386</f>
        <v>3137</v>
      </c>
      <c r="AV69" s="70">
        <f>1396+1580</f>
        <v>2976</v>
      </c>
      <c r="AW69" s="68">
        <v>3142</v>
      </c>
      <c r="AX69" s="70">
        <v>3146</v>
      </c>
      <c r="AY69" s="70">
        <f>1452+1269</f>
        <v>2721</v>
      </c>
      <c r="AZ69" s="68">
        <v>2685</v>
      </c>
      <c r="BA69" s="68">
        <v>2853</v>
      </c>
      <c r="BB69" s="68">
        <f>1522+1653</f>
        <v>3175</v>
      </c>
      <c r="BC69" s="70">
        <f>1310+1447</f>
        <v>2757</v>
      </c>
      <c r="BD69" s="68">
        <v>2813</v>
      </c>
      <c r="BE69" s="68">
        <v>2534</v>
      </c>
      <c r="BF69" s="70">
        <v>2629</v>
      </c>
      <c r="BG69" s="68">
        <v>2385</v>
      </c>
      <c r="BH69" s="70">
        <v>2591</v>
      </c>
      <c r="BI69" s="68">
        <v>2602</v>
      </c>
      <c r="BJ69" s="70">
        <v>1999</v>
      </c>
      <c r="BK69" s="70">
        <v>1395</v>
      </c>
      <c r="BL69" s="68">
        <v>1220</v>
      </c>
      <c r="BM69" s="68">
        <v>749</v>
      </c>
      <c r="BN69" s="68">
        <v>584</v>
      </c>
      <c r="BO69" s="68">
        <v>626</v>
      </c>
      <c r="BP69" s="68">
        <v>545</v>
      </c>
      <c r="BQ69" s="68">
        <v>533</v>
      </c>
      <c r="BR69" s="68">
        <v>611</v>
      </c>
      <c r="BS69" s="122">
        <v>457</v>
      </c>
      <c r="BT69" s="68">
        <v>543</v>
      </c>
      <c r="BU69" s="68">
        <v>490</v>
      </c>
      <c r="BV69" s="68">
        <v>572</v>
      </c>
      <c r="BW69" s="122">
        <v>441</v>
      </c>
      <c r="BX69" s="122">
        <v>509</v>
      </c>
      <c r="BY69" s="122">
        <v>454</v>
      </c>
      <c r="BZ69" s="68">
        <v>456</v>
      </c>
      <c r="CA69" s="68">
        <v>411</v>
      </c>
      <c r="CB69" s="68">
        <v>461</v>
      </c>
      <c r="CC69" s="68">
        <v>422</v>
      </c>
      <c r="CD69" s="68">
        <v>464</v>
      </c>
      <c r="CE69" s="68">
        <v>404</v>
      </c>
      <c r="CF69" s="68">
        <v>445</v>
      </c>
      <c r="CG69" s="68">
        <v>491</v>
      </c>
      <c r="CH69" s="68">
        <v>574</v>
      </c>
      <c r="CI69" s="68">
        <v>511</v>
      </c>
      <c r="CJ69" s="68">
        <v>521</v>
      </c>
      <c r="CK69" s="68">
        <v>507</v>
      </c>
      <c r="CL69" s="68">
        <v>524</v>
      </c>
      <c r="CM69" s="68">
        <v>622</v>
      </c>
      <c r="CN69" s="122">
        <v>107</v>
      </c>
      <c r="CO69" s="122">
        <v>476</v>
      </c>
      <c r="CP69" s="122">
        <v>468</v>
      </c>
      <c r="CQ69" s="122">
        <v>405</v>
      </c>
      <c r="CR69" s="122">
        <v>431</v>
      </c>
      <c r="CS69" s="122">
        <v>0</v>
      </c>
      <c r="CT69" s="122">
        <v>0</v>
      </c>
      <c r="CU69" s="122">
        <v>0</v>
      </c>
      <c r="CV69" s="122">
        <v>0</v>
      </c>
      <c r="CW69" s="122">
        <v>0</v>
      </c>
      <c r="CX69" s="122">
        <v>0</v>
      </c>
      <c r="CY69" s="122">
        <v>0</v>
      </c>
      <c r="CZ69" s="122"/>
      <c r="DA69" s="122"/>
      <c r="DB69" s="122"/>
      <c r="DC69" s="122"/>
      <c r="DD69" s="122"/>
      <c r="DE69" s="122"/>
      <c r="DF69" s="122"/>
      <c r="DG69" s="122"/>
      <c r="DH69" s="122"/>
      <c r="DI69" s="122"/>
      <c r="DJ69" s="122"/>
      <c r="DK69" s="122"/>
      <c r="DL69" s="122"/>
      <c r="DM69" s="122"/>
      <c r="DN69" s="122"/>
      <c r="DO69" s="122"/>
      <c r="DP69" s="68"/>
      <c r="DQ69" s="68"/>
      <c r="DU69" s="68"/>
      <c r="DV69" s="68" t="s">
        <v>605</v>
      </c>
      <c r="DW69" s="68" t="s">
        <v>605</v>
      </c>
      <c r="DX69" s="68" t="s">
        <v>605</v>
      </c>
      <c r="DY69" s="68">
        <v>865</v>
      </c>
      <c r="DZ69" s="68">
        <f>SUM(G69:J69)</f>
        <v>2208</v>
      </c>
      <c r="EA69" s="68">
        <f>SUM(K69:N69)</f>
        <v>3796</v>
      </c>
      <c r="EB69" s="68">
        <f>SUM(O69:R69)</f>
        <v>5031</v>
      </c>
      <c r="EC69" s="68">
        <f>SUM(S69:V69)</f>
        <v>6449</v>
      </c>
      <c r="ED69" s="68">
        <f>SUM(W69:Z69)</f>
        <v>7972</v>
      </c>
      <c r="EE69" s="68">
        <f>SUM(AA69:AD69)</f>
        <v>9230</v>
      </c>
      <c r="EF69" s="68">
        <f>SUM(AE69:AH69)</f>
        <v>10862</v>
      </c>
      <c r="EG69" s="68">
        <v>12187</v>
      </c>
      <c r="EH69" s="68">
        <v>12886</v>
      </c>
      <c r="EI69" s="68">
        <f>SUM(AQ69:AT69)</f>
        <v>12675</v>
      </c>
      <c r="EJ69" s="68">
        <f>SUM(AU69:AX69)</f>
        <v>12401</v>
      </c>
      <c r="EK69" s="70">
        <f t="shared" si="75"/>
        <v>11434</v>
      </c>
      <c r="EL69" s="68">
        <f t="shared" ref="EL69:EL73" si="89">SUM(BC69:BF69)</f>
        <v>10733</v>
      </c>
      <c r="EM69" s="68">
        <f>SUM(BG69:BJ69)</f>
        <v>9577</v>
      </c>
      <c r="EN69" s="68">
        <f t="shared" si="78"/>
        <v>3948</v>
      </c>
      <c r="EO69" s="44">
        <f t="shared" si="79"/>
        <v>2315</v>
      </c>
      <c r="EP69" s="44">
        <f t="shared" si="80"/>
        <v>2062</v>
      </c>
      <c r="EQ69" s="68">
        <f t="shared" ref="EQ69:ET69" si="90">EP69*0.8</f>
        <v>1649.6000000000001</v>
      </c>
      <c r="ER69" s="68">
        <f t="shared" si="90"/>
        <v>1319.6800000000003</v>
      </c>
      <c r="ES69" s="68">
        <f t="shared" si="90"/>
        <v>1055.7440000000004</v>
      </c>
      <c r="ET69" s="68">
        <f t="shared" si="90"/>
        <v>844.59520000000032</v>
      </c>
      <c r="EU69" s="44">
        <f t="shared" si="15"/>
        <v>1673</v>
      </c>
      <c r="EV69" s="44">
        <f t="shared" si="3"/>
        <v>836</v>
      </c>
      <c r="EW69" s="44">
        <f t="shared" si="4"/>
        <v>0</v>
      </c>
      <c r="EX69" s="44">
        <f t="shared" si="63"/>
        <v>0</v>
      </c>
      <c r="EY69" s="44"/>
      <c r="EZ69" s="44"/>
      <c r="FA69" s="44"/>
      <c r="FB69" s="68"/>
      <c r="FC69" s="68"/>
      <c r="FD69" s="68"/>
      <c r="FE69" s="68"/>
      <c r="FF69" s="68"/>
      <c r="FG69" s="68"/>
      <c r="FH69" s="68"/>
      <c r="FI69" s="68"/>
      <c r="FJ69" s="68"/>
      <c r="FK69" s="68"/>
      <c r="FL69" s="68"/>
      <c r="FM69" s="68"/>
      <c r="FN69" s="68"/>
      <c r="FO69" s="68"/>
      <c r="FP69" s="68"/>
      <c r="FQ69" s="83">
        <f>EL69*0.8</f>
        <v>8586.4</v>
      </c>
      <c r="FR69" s="68">
        <f>EQ69*0.3</f>
        <v>494.88</v>
      </c>
      <c r="FS69" s="84">
        <f>EV69*0.2</f>
        <v>167.20000000000002</v>
      </c>
      <c r="FT69" s="68"/>
      <c r="FU69" s="111" t="s">
        <v>634</v>
      </c>
    </row>
    <row r="70" spans="2:177" s="20" customFormat="1" collapsed="1">
      <c r="B70" s="20" t="s">
        <v>635</v>
      </c>
      <c r="C70" s="44" t="s">
        <v>605</v>
      </c>
      <c r="D70" s="44" t="s">
        <v>605</v>
      </c>
      <c r="E70" s="44" t="s">
        <v>605</v>
      </c>
      <c r="F70" s="44" t="s">
        <v>605</v>
      </c>
      <c r="G70" s="44">
        <v>0</v>
      </c>
      <c r="H70" s="44">
        <f>401+1</f>
        <v>402</v>
      </c>
      <c r="I70" s="44">
        <f>112+26</f>
        <v>138</v>
      </c>
      <c r="J70" s="44">
        <f>128+105</f>
        <v>233</v>
      </c>
      <c r="K70" s="44">
        <f>146+44</f>
        <v>190</v>
      </c>
      <c r="L70" s="44">
        <f>194+111</f>
        <v>305</v>
      </c>
      <c r="M70" s="44">
        <f>158+87</f>
        <v>245</v>
      </c>
      <c r="N70" s="44">
        <f>161+116</f>
        <v>277</v>
      </c>
      <c r="O70" s="44">
        <f>276+52</f>
        <v>328</v>
      </c>
      <c r="P70" s="44">
        <f>125+179</f>
        <v>304</v>
      </c>
      <c r="Q70" s="44">
        <f>199+133</f>
        <v>332</v>
      </c>
      <c r="R70" s="44">
        <f>234+146</f>
        <v>380</v>
      </c>
      <c r="S70" s="44">
        <f>238+139</f>
        <v>377</v>
      </c>
      <c r="T70" s="44">
        <f>198+153</f>
        <v>351</v>
      </c>
      <c r="U70" s="44">
        <f>222+153</f>
        <v>375</v>
      </c>
      <c r="V70" s="44">
        <f>251+164</f>
        <v>415</v>
      </c>
      <c r="W70" s="44">
        <f>263+159</f>
        <v>422</v>
      </c>
      <c r="X70" s="44">
        <f>213+172</f>
        <v>385</v>
      </c>
      <c r="Y70" s="44">
        <f>256+181</f>
        <v>437</v>
      </c>
      <c r="Z70" s="44">
        <f>285+206</f>
        <v>491</v>
      </c>
      <c r="AA70" s="44">
        <f>293+182</f>
        <v>475</v>
      </c>
      <c r="AB70" s="44">
        <f>227+192</f>
        <v>419</v>
      </c>
      <c r="AC70" s="44">
        <f>282+194</f>
        <v>476</v>
      </c>
      <c r="AD70" s="44">
        <f>301+208</f>
        <v>509</v>
      </c>
      <c r="AE70" s="44">
        <f>220+196</f>
        <v>416</v>
      </c>
      <c r="AF70" s="44">
        <f>201+188</f>
        <v>389</v>
      </c>
      <c r="AG70" s="44">
        <f>217+186</f>
        <v>403</v>
      </c>
      <c r="AH70" s="44">
        <f>248+221</f>
        <v>469</v>
      </c>
      <c r="AI70" s="68">
        <f>230+208</f>
        <v>438</v>
      </c>
      <c r="AJ70" s="44">
        <f>174+217</f>
        <v>391</v>
      </c>
      <c r="AK70" s="44">
        <f>186+200</f>
        <v>386</v>
      </c>
      <c r="AL70" s="65">
        <v>430</v>
      </c>
      <c r="AM70" s="65">
        <v>390</v>
      </c>
      <c r="AN70" s="65">
        <v>394</v>
      </c>
      <c r="AO70" s="65">
        <v>423</v>
      </c>
      <c r="AP70" s="70">
        <v>450</v>
      </c>
      <c r="AQ70" s="65">
        <v>434</v>
      </c>
      <c r="AR70" s="65">
        <v>382</v>
      </c>
      <c r="AS70" s="65">
        <v>450</v>
      </c>
      <c r="AT70" s="65">
        <v>498</v>
      </c>
      <c r="AU70" s="44">
        <f>223+237</f>
        <v>460</v>
      </c>
      <c r="AV70" s="65">
        <f>199+264</f>
        <v>463</v>
      </c>
      <c r="AW70" s="44">
        <v>509</v>
      </c>
      <c r="AX70" s="65">
        <v>502</v>
      </c>
      <c r="AY70" s="65">
        <v>454</v>
      </c>
      <c r="AZ70" s="44">
        <v>423</v>
      </c>
      <c r="BA70" s="44">
        <v>466</v>
      </c>
      <c r="BB70" s="44">
        <v>549</v>
      </c>
      <c r="BC70" s="65">
        <f>253+226</f>
        <v>479</v>
      </c>
      <c r="BD70" s="44">
        <v>491</v>
      </c>
      <c r="BE70" s="44">
        <v>459</v>
      </c>
      <c r="BF70" s="65">
        <v>499</v>
      </c>
      <c r="BG70" s="44">
        <v>470</v>
      </c>
      <c r="BH70" s="65">
        <v>495</v>
      </c>
      <c r="BI70" s="44">
        <v>493</v>
      </c>
      <c r="BJ70" s="65">
        <v>523</v>
      </c>
      <c r="BK70" s="65">
        <v>496</v>
      </c>
      <c r="BL70" s="44">
        <v>485</v>
      </c>
      <c r="BM70" s="44">
        <v>517</v>
      </c>
      <c r="BN70" s="44">
        <v>553</v>
      </c>
      <c r="BO70" s="44">
        <v>461</v>
      </c>
      <c r="BP70" s="44">
        <v>484</v>
      </c>
      <c r="BQ70" s="44">
        <v>460</v>
      </c>
      <c r="BR70" s="44">
        <f>476+336</f>
        <v>812</v>
      </c>
      <c r="BS70" s="115">
        <v>374</v>
      </c>
      <c r="BT70" s="44">
        <v>427</v>
      </c>
      <c r="BU70" s="44">
        <f>299+128</f>
        <v>427</v>
      </c>
      <c r="BV70" s="44">
        <f>122+342</f>
        <v>464</v>
      </c>
      <c r="BW70" s="115">
        <v>396</v>
      </c>
      <c r="BX70" s="115">
        <v>448</v>
      </c>
      <c r="BY70" s="122">
        <f>333+97</f>
        <v>430</v>
      </c>
      <c r="BZ70" s="44">
        <f>92+342</f>
        <v>434</v>
      </c>
      <c r="CA70" s="68">
        <f>300+96</f>
        <v>396</v>
      </c>
      <c r="CB70" s="44">
        <f>101+300</f>
        <v>401</v>
      </c>
      <c r="CC70" s="44">
        <f>297+89</f>
        <v>386</v>
      </c>
      <c r="CD70" s="68">
        <f>284+97</f>
        <v>381</v>
      </c>
      <c r="CE70" s="44">
        <f>249+89</f>
        <v>338</v>
      </c>
      <c r="CF70" s="44">
        <f>255+93</f>
        <v>348</v>
      </c>
      <c r="CG70" s="44">
        <f>102+206</f>
        <v>308</v>
      </c>
      <c r="CH70" s="44">
        <f>112+56+97</f>
        <v>265</v>
      </c>
      <c r="CI70" s="44">
        <f>187+62</f>
        <v>249</v>
      </c>
      <c r="CJ70" s="44">
        <f>185+8</f>
        <v>193</v>
      </c>
      <c r="CK70" s="44">
        <v>137</v>
      </c>
      <c r="CL70" s="44">
        <v>127</v>
      </c>
      <c r="CM70" s="44">
        <v>145</v>
      </c>
      <c r="CN70" s="115">
        <v>114</v>
      </c>
      <c r="CO70" s="115">
        <v>120</v>
      </c>
      <c r="CP70" s="115">
        <v>119</v>
      </c>
      <c r="CQ70" s="115">
        <v>127</v>
      </c>
      <c r="CR70" s="115">
        <v>94</v>
      </c>
      <c r="CS70" s="115">
        <v>0</v>
      </c>
      <c r="CT70" s="115">
        <v>0</v>
      </c>
      <c r="CU70" s="115">
        <v>0</v>
      </c>
      <c r="CV70" s="115">
        <v>0</v>
      </c>
      <c r="CW70" s="115">
        <v>0</v>
      </c>
      <c r="CX70" s="115">
        <v>0</v>
      </c>
      <c r="CY70" s="115">
        <v>0</v>
      </c>
      <c r="CZ70" s="115"/>
      <c r="DA70" s="115"/>
      <c r="DB70" s="115"/>
      <c r="DC70" s="115"/>
      <c r="DD70" s="115"/>
      <c r="DE70" s="115"/>
      <c r="DF70" s="115"/>
      <c r="DG70" s="115"/>
      <c r="DH70" s="115"/>
      <c r="DI70" s="115"/>
      <c r="DJ70" s="115"/>
      <c r="DK70" s="115"/>
      <c r="DL70" s="115"/>
      <c r="DM70" s="115"/>
      <c r="DN70" s="115"/>
      <c r="DO70" s="115"/>
      <c r="DP70" s="44"/>
      <c r="DQ70" s="44"/>
      <c r="DU70" s="68"/>
      <c r="DV70" s="68" t="s">
        <v>605</v>
      </c>
      <c r="DW70" s="68" t="s">
        <v>605</v>
      </c>
      <c r="DX70" s="68" t="s">
        <v>605</v>
      </c>
      <c r="DY70" s="68" t="s">
        <v>605</v>
      </c>
      <c r="DZ70" s="44">
        <v>788</v>
      </c>
      <c r="EA70" s="44">
        <v>1016</v>
      </c>
      <c r="EB70" s="44">
        <v>1344</v>
      </c>
      <c r="EC70" s="44">
        <v>1518</v>
      </c>
      <c r="ED70" s="44">
        <f>[3]Viagra!C10+[3]Viagra!C11</f>
        <v>1735</v>
      </c>
      <c r="EE70" s="44">
        <f>[3]Viagra!D10+[3]Viagra!D11</f>
        <v>1879</v>
      </c>
      <c r="EF70" s="44">
        <v>1678</v>
      </c>
      <c r="EG70" s="44">
        <v>1645</v>
      </c>
      <c r="EH70" s="44">
        <v>1657</v>
      </c>
      <c r="EI70" s="44">
        <f>SUM(AQ70:AT70)</f>
        <v>1764</v>
      </c>
      <c r="EJ70" s="68">
        <f>SUM(AU70:AX70)</f>
        <v>1934</v>
      </c>
      <c r="EK70" s="65">
        <f t="shared" si="75"/>
        <v>1892</v>
      </c>
      <c r="EL70" s="68">
        <f t="shared" si="89"/>
        <v>1928</v>
      </c>
      <c r="EM70" s="68">
        <f t="shared" ref="EM70" si="91">SUM(BG70:BJ70)</f>
        <v>1981</v>
      </c>
      <c r="EN70" s="44">
        <f t="shared" si="78"/>
        <v>2051</v>
      </c>
      <c r="EO70" s="44">
        <f t="shared" si="79"/>
        <v>2217</v>
      </c>
      <c r="EP70" s="44">
        <f t="shared" si="80"/>
        <v>1692</v>
      </c>
      <c r="EQ70" s="44">
        <f t="shared" ref="EQ70:ET70" si="92">EP70*0.9</f>
        <v>1522.8</v>
      </c>
      <c r="ER70" s="44">
        <f t="shared" si="92"/>
        <v>1370.52</v>
      </c>
      <c r="ES70" s="44">
        <f t="shared" si="92"/>
        <v>1233.4680000000001</v>
      </c>
      <c r="ET70" s="44">
        <f t="shared" si="92"/>
        <v>1110.1212</v>
      </c>
      <c r="EU70" s="44">
        <f t="shared" si="15"/>
        <v>498</v>
      </c>
      <c r="EV70" s="44">
        <f t="shared" si="3"/>
        <v>221</v>
      </c>
      <c r="EW70" s="44">
        <f t="shared" si="4"/>
        <v>0</v>
      </c>
      <c r="EX70" s="44">
        <f t="shared" si="63"/>
        <v>0</v>
      </c>
      <c r="EY70" s="44"/>
      <c r="EZ70" s="44"/>
      <c r="FA70" s="44"/>
      <c r="FB70" s="44"/>
      <c r="FC70" s="44"/>
      <c r="FD70" s="44"/>
      <c r="FE70" s="44"/>
      <c r="FF70" s="44"/>
      <c r="FG70" s="44"/>
      <c r="FH70" s="44"/>
      <c r="FI70" s="44"/>
      <c r="FJ70" s="44"/>
      <c r="FK70" s="44"/>
      <c r="FL70" s="44"/>
      <c r="FM70" s="44"/>
      <c r="FN70" s="44"/>
      <c r="FO70" s="44"/>
      <c r="FP70" s="44"/>
      <c r="FQ70" s="81">
        <f>EL70*0.3</f>
        <v>578.4</v>
      </c>
      <c r="FR70" s="44">
        <f>EQ70*0.2</f>
        <v>304.56</v>
      </c>
      <c r="FS70" s="82">
        <f>EV70*0.1</f>
        <v>22.1</v>
      </c>
      <c r="FT70" s="44"/>
      <c r="FU70" s="111" t="s">
        <v>636</v>
      </c>
    </row>
    <row r="71" spans="2:177" s="20" customFormat="1" collapsed="1">
      <c r="B71" s="111" t="s">
        <v>637</v>
      </c>
      <c r="C71" s="44">
        <v>498</v>
      </c>
      <c r="D71" s="44">
        <v>521</v>
      </c>
      <c r="E71" s="44">
        <v>574</v>
      </c>
      <c r="F71" s="44">
        <f>DY71-E71-D71-C71</f>
        <v>624</v>
      </c>
      <c r="G71" s="44">
        <f>254+305</f>
        <v>559</v>
      </c>
      <c r="H71" s="44">
        <f>274+336</f>
        <v>610</v>
      </c>
      <c r="I71" s="44">
        <f>335+327</f>
        <v>662</v>
      </c>
      <c r="J71" s="44">
        <f>317+393</f>
        <v>710</v>
      </c>
      <c r="K71" s="44">
        <f>307+387</f>
        <v>694</v>
      </c>
      <c r="L71" s="44">
        <f>306+407</f>
        <v>713</v>
      </c>
      <c r="M71" s="44">
        <f>358+420</f>
        <v>778</v>
      </c>
      <c r="N71" s="44">
        <f>364+443</f>
        <v>807</v>
      </c>
      <c r="O71" s="44">
        <f>346+436</f>
        <v>782</v>
      </c>
      <c r="P71" s="44">
        <f>337+468</f>
        <v>805</v>
      </c>
      <c r="Q71" s="44">
        <f>404+443</f>
        <v>847</v>
      </c>
      <c r="R71" s="44">
        <f>439+489</f>
        <v>928</v>
      </c>
      <c r="S71" s="44">
        <f>391+469</f>
        <v>860</v>
      </c>
      <c r="T71" s="44">
        <f>391+488</f>
        <v>879</v>
      </c>
      <c r="U71" s="44">
        <f>426+455</f>
        <v>881</v>
      </c>
      <c r="V71" s="44">
        <f>459+503</f>
        <v>962</v>
      </c>
      <c r="W71" s="44">
        <f>448+483</f>
        <v>931</v>
      </c>
      <c r="X71" s="44">
        <f>380+506</f>
        <v>886</v>
      </c>
      <c r="Y71" s="68">
        <f>440+523</f>
        <v>963</v>
      </c>
      <c r="Z71" s="44">
        <f>507+559</f>
        <v>1066</v>
      </c>
      <c r="AA71" s="44">
        <f>436+547</f>
        <v>983</v>
      </c>
      <c r="AB71" s="44">
        <f>424+579</f>
        <v>1003</v>
      </c>
      <c r="AC71" s="44">
        <f>489+615</f>
        <v>1104</v>
      </c>
      <c r="AD71" s="44">
        <f>585+660</f>
        <v>1245</v>
      </c>
      <c r="AE71" s="44">
        <f>489+652</f>
        <v>1141</v>
      </c>
      <c r="AF71" s="44">
        <f>412+620</f>
        <v>1032</v>
      </c>
      <c r="AG71" s="44">
        <f>471+565</f>
        <v>1036</v>
      </c>
      <c r="AH71" s="44">
        <f>619+634</f>
        <v>1253</v>
      </c>
      <c r="AI71" s="68">
        <f>540+635</f>
        <v>1175</v>
      </c>
      <c r="AJ71" s="44">
        <f>523+633</f>
        <v>1156</v>
      </c>
      <c r="AK71" s="44">
        <f>546+585</f>
        <v>1131</v>
      </c>
      <c r="AL71" s="65">
        <v>1244</v>
      </c>
      <c r="AM71" s="65">
        <v>1183</v>
      </c>
      <c r="AN71" s="65">
        <v>1158</v>
      </c>
      <c r="AO71" s="65">
        <v>1208</v>
      </c>
      <c r="AP71" s="70">
        <v>1317</v>
      </c>
      <c r="AQ71" s="65">
        <v>1069</v>
      </c>
      <c r="AR71" s="65">
        <v>642</v>
      </c>
      <c r="AS71" s="65">
        <f>48+592</f>
        <v>640</v>
      </c>
      <c r="AT71" s="65">
        <v>650</v>
      </c>
      <c r="AU71" s="44">
        <f>-5+518</f>
        <v>513</v>
      </c>
      <c r="AV71" s="65">
        <f>41+586</f>
        <v>627</v>
      </c>
      <c r="AW71" s="44">
        <v>562</v>
      </c>
      <c r="AX71" s="65">
        <v>542</v>
      </c>
      <c r="AY71" s="65">
        <v>481</v>
      </c>
      <c r="AZ71" s="44">
        <v>518</v>
      </c>
      <c r="BA71" s="44">
        <v>488</v>
      </c>
      <c r="BB71" s="44">
        <f>15+471</f>
        <v>486</v>
      </c>
      <c r="BC71" s="65">
        <f>13+355</f>
        <v>368</v>
      </c>
      <c r="BD71" s="44">
        <v>422</v>
      </c>
      <c r="BE71" s="44">
        <v>330</v>
      </c>
      <c r="BF71" s="65">
        <v>386</v>
      </c>
      <c r="BG71" s="44">
        <v>356</v>
      </c>
      <c r="BH71" s="65">
        <v>375</v>
      </c>
      <c r="BI71" s="44">
        <v>350</v>
      </c>
      <c r="BJ71" s="65">
        <v>364</v>
      </c>
      <c r="BK71" s="65">
        <v>334</v>
      </c>
      <c r="BL71" s="44">
        <v>348</v>
      </c>
      <c r="BM71" s="44">
        <v>319</v>
      </c>
      <c r="BN71" s="44">
        <v>348</v>
      </c>
      <c r="BO71" s="44">
        <v>301</v>
      </c>
      <c r="BP71" s="44">
        <v>313</v>
      </c>
      <c r="BQ71" s="44">
        <v>303</v>
      </c>
      <c r="BR71" s="44">
        <v>312</v>
      </c>
      <c r="BS71" s="122">
        <v>278</v>
      </c>
      <c r="BT71" s="68">
        <v>282</v>
      </c>
      <c r="BU71" s="68">
        <v>270</v>
      </c>
      <c r="BV71" s="68">
        <v>282</v>
      </c>
      <c r="BW71" s="122">
        <v>252</v>
      </c>
      <c r="BX71" s="122">
        <v>251</v>
      </c>
      <c r="BY71" s="122">
        <v>241</v>
      </c>
      <c r="BZ71" s="68">
        <v>248</v>
      </c>
      <c r="CA71" s="68">
        <v>236</v>
      </c>
      <c r="CB71" s="68">
        <v>240</v>
      </c>
      <c r="CC71" s="68">
        <v>238</v>
      </c>
      <c r="CD71" s="68">
        <v>248</v>
      </c>
      <c r="CE71" s="68">
        <v>228</v>
      </c>
      <c r="CF71" s="68">
        <v>231</v>
      </c>
      <c r="CG71" s="68">
        <v>226</v>
      </c>
      <c r="CH71" s="68">
        <v>241</v>
      </c>
      <c r="CI71" s="68">
        <v>254</v>
      </c>
      <c r="CJ71" s="68">
        <v>271</v>
      </c>
      <c r="CK71" s="68">
        <v>248</v>
      </c>
      <c r="CL71" s="68">
        <v>251</v>
      </c>
      <c r="CM71" s="68">
        <v>300</v>
      </c>
      <c r="CN71" s="122">
        <v>216</v>
      </c>
      <c r="CO71" s="122">
        <v>219</v>
      </c>
      <c r="CP71" s="122">
        <v>215</v>
      </c>
      <c r="CQ71" s="122">
        <v>197</v>
      </c>
      <c r="CR71" s="122">
        <v>222</v>
      </c>
      <c r="CS71" s="122">
        <v>0</v>
      </c>
      <c r="CT71" s="122">
        <v>0</v>
      </c>
      <c r="CU71" s="122">
        <v>0</v>
      </c>
      <c r="CV71" s="122">
        <v>0</v>
      </c>
      <c r="CW71" s="122">
        <v>0</v>
      </c>
      <c r="CX71" s="122">
        <v>0</v>
      </c>
      <c r="CY71" s="122">
        <v>0</v>
      </c>
      <c r="CZ71" s="122"/>
      <c r="DA71" s="122"/>
      <c r="DB71" s="122"/>
      <c r="DC71" s="122"/>
      <c r="DD71" s="122"/>
      <c r="DE71" s="122"/>
      <c r="DF71" s="122"/>
      <c r="DG71" s="122"/>
      <c r="DH71" s="122"/>
      <c r="DI71" s="122"/>
      <c r="DJ71" s="122"/>
      <c r="DK71" s="122"/>
      <c r="DL71" s="122"/>
      <c r="DM71" s="122"/>
      <c r="DN71" s="122"/>
      <c r="DO71" s="122"/>
      <c r="DP71" s="68"/>
      <c r="DQ71" s="68"/>
      <c r="DS71" s="20">
        <f>DT71/2.44</f>
        <v>77.688287883661786</v>
      </c>
      <c r="DT71" s="20">
        <f>DU71/2.19</f>
        <v>189.55942243613475</v>
      </c>
      <c r="DU71" s="68">
        <f>DV71/1.85</f>
        <v>415.1351351351351</v>
      </c>
      <c r="DV71" s="68">
        <v>768</v>
      </c>
      <c r="DW71" s="44">
        <v>1265</v>
      </c>
      <c r="DX71" s="44">
        <v>1795</v>
      </c>
      <c r="DY71" s="44">
        <v>2217</v>
      </c>
      <c r="DZ71" s="68">
        <f>SUM(G71:J71)</f>
        <v>2541</v>
      </c>
      <c r="EA71" s="68">
        <f>SUM(K71:N71)</f>
        <v>2992</v>
      </c>
      <c r="EB71" s="68">
        <f>SUM(O71:R71)</f>
        <v>3362</v>
      </c>
      <c r="EC71" s="68">
        <f>SUM(S71:V71)</f>
        <v>3582</v>
      </c>
      <c r="ED71" s="68">
        <f>SUM(W71:Z71)</f>
        <v>3846</v>
      </c>
      <c r="EE71" s="68">
        <f>SUM(AA71:AD71)</f>
        <v>4335</v>
      </c>
      <c r="EF71" s="68">
        <f>SUM(AE71:AH71)</f>
        <v>4462</v>
      </c>
      <c r="EG71" s="44">
        <v>4706</v>
      </c>
      <c r="EH71" s="44">
        <f>SUM(AM71:AP71)</f>
        <v>4866</v>
      </c>
      <c r="EI71" s="44">
        <f>SUM(AQ71:AT71)</f>
        <v>3001</v>
      </c>
      <c r="EJ71" s="68">
        <f>SUM(AU71:AX71)</f>
        <v>2244</v>
      </c>
      <c r="EK71" s="65">
        <f t="shared" si="75"/>
        <v>1973</v>
      </c>
      <c r="EL71" s="68">
        <f t="shared" si="89"/>
        <v>1506</v>
      </c>
      <c r="EM71" s="44">
        <f>SUM(BG71:BJ71)</f>
        <v>1445</v>
      </c>
      <c r="EN71" s="44">
        <f t="shared" si="78"/>
        <v>1349</v>
      </c>
      <c r="EO71" s="44">
        <f t="shared" si="79"/>
        <v>1229</v>
      </c>
      <c r="EP71" s="44">
        <f t="shared" si="80"/>
        <v>1112</v>
      </c>
      <c r="EQ71" s="44">
        <f t="shared" ref="EQ71:ET71" si="93">EP71*0.8</f>
        <v>889.6</v>
      </c>
      <c r="ER71" s="44">
        <f t="shared" si="93"/>
        <v>711.68000000000006</v>
      </c>
      <c r="ES71" s="44">
        <f t="shared" si="93"/>
        <v>569.34400000000005</v>
      </c>
      <c r="ET71" s="44">
        <f t="shared" si="93"/>
        <v>455.47520000000009</v>
      </c>
      <c r="EU71" s="44">
        <f t="shared" si="15"/>
        <v>950</v>
      </c>
      <c r="EV71" s="44">
        <f t="shared" si="3"/>
        <v>419</v>
      </c>
      <c r="EW71" s="44">
        <f t="shared" si="4"/>
        <v>0</v>
      </c>
      <c r="EX71" s="44">
        <f t="shared" si="63"/>
        <v>0</v>
      </c>
      <c r="EY71" s="44"/>
      <c r="EZ71" s="44"/>
      <c r="FA71" s="44"/>
      <c r="FB71" s="44"/>
      <c r="FC71" s="44"/>
      <c r="FD71" s="44"/>
      <c r="FE71" s="44"/>
      <c r="FF71" s="44"/>
      <c r="FG71" s="44"/>
      <c r="FH71" s="44"/>
      <c r="FI71" s="44"/>
      <c r="FJ71" s="44"/>
      <c r="FK71" s="44"/>
      <c r="FL71" s="44"/>
      <c r="FM71" s="44"/>
      <c r="FN71" s="44"/>
      <c r="FO71" s="44"/>
      <c r="FP71" s="44"/>
      <c r="FQ71" s="81">
        <f>EL71*0.2</f>
        <v>301.2</v>
      </c>
      <c r="FR71" s="44">
        <f>EQ71*0.1</f>
        <v>88.960000000000008</v>
      </c>
      <c r="FS71" s="82">
        <f>EV71*0.05</f>
        <v>20.950000000000003</v>
      </c>
      <c r="FT71" s="44"/>
    </row>
    <row r="72" spans="2:177" s="20" customFormat="1">
      <c r="B72" s="111" t="s">
        <v>1582</v>
      </c>
      <c r="C72" s="44"/>
      <c r="D72" s="44"/>
      <c r="E72" s="44"/>
      <c r="F72" s="44"/>
      <c r="G72" s="44"/>
      <c r="H72" s="44"/>
      <c r="I72" s="44"/>
      <c r="J72" s="44"/>
      <c r="K72" s="44"/>
      <c r="L72" s="44"/>
      <c r="M72" s="44"/>
      <c r="N72" s="44"/>
      <c r="O72" s="44"/>
      <c r="P72" s="44"/>
      <c r="Q72" s="44"/>
      <c r="R72" s="44"/>
      <c r="S72" s="44"/>
      <c r="T72" s="44"/>
      <c r="U72" s="44"/>
      <c r="V72" s="44"/>
      <c r="W72" s="44"/>
      <c r="X72" s="44"/>
      <c r="Y72" s="68"/>
      <c r="Z72" s="44"/>
      <c r="AA72" s="44"/>
      <c r="AB72" s="44"/>
      <c r="AC72" s="44"/>
      <c r="AD72" s="44"/>
      <c r="AE72" s="44"/>
      <c r="AF72" s="44"/>
      <c r="AG72" s="44"/>
      <c r="AH72" s="44"/>
      <c r="AI72" s="68"/>
      <c r="AJ72" s="44"/>
      <c r="AK72" s="44"/>
      <c r="AL72" s="65"/>
      <c r="AM72" s="65"/>
      <c r="AN72" s="65"/>
      <c r="AO72" s="65"/>
      <c r="AP72" s="70"/>
      <c r="AQ72" s="65"/>
      <c r="AR72" s="65"/>
      <c r="AS72" s="65"/>
      <c r="AT72" s="65"/>
      <c r="AU72" s="44"/>
      <c r="AV72" s="65"/>
      <c r="AW72" s="44"/>
      <c r="AX72" s="65"/>
      <c r="AY72" s="65"/>
      <c r="AZ72" s="44"/>
      <c r="BA72" s="44"/>
      <c r="BB72" s="44"/>
      <c r="BC72" s="65"/>
      <c r="BD72" s="44"/>
      <c r="BE72" s="44"/>
      <c r="BF72" s="65"/>
      <c r="BG72" s="44"/>
      <c r="BH72" s="65"/>
      <c r="BI72" s="44"/>
      <c r="BJ72" s="65"/>
      <c r="BK72" s="65"/>
      <c r="BL72" s="44"/>
      <c r="BM72" s="44"/>
      <c r="BN72" s="44"/>
      <c r="BO72" s="44"/>
      <c r="BP72" s="44"/>
      <c r="BQ72" s="44"/>
      <c r="BR72" s="44"/>
      <c r="BS72" s="122"/>
      <c r="BT72" s="68"/>
      <c r="BU72" s="68"/>
      <c r="BV72" s="68"/>
      <c r="BW72" s="122"/>
      <c r="BX72" s="122"/>
      <c r="BY72" s="122"/>
      <c r="BZ72" s="68"/>
      <c r="CA72" s="68"/>
      <c r="CB72" s="68">
        <v>0</v>
      </c>
      <c r="CC72" s="68">
        <v>0</v>
      </c>
      <c r="CD72" s="68">
        <v>0</v>
      </c>
      <c r="CE72" s="68">
        <v>9</v>
      </c>
      <c r="CF72" s="68">
        <v>9</v>
      </c>
      <c r="CG72" s="68">
        <v>15</v>
      </c>
      <c r="CH72" s="68">
        <v>34</v>
      </c>
      <c r="CI72" s="68">
        <v>26</v>
      </c>
      <c r="CJ72" s="68">
        <v>39</v>
      </c>
      <c r="CK72" s="68">
        <v>40</v>
      </c>
      <c r="CL72" s="68"/>
      <c r="CM72" s="68"/>
      <c r="CN72" s="122"/>
      <c r="CO72" s="122">
        <v>43</v>
      </c>
      <c r="CP72" s="122"/>
      <c r="CQ72" s="122"/>
      <c r="CR72" s="122"/>
      <c r="CS72" s="122"/>
      <c r="CT72" s="122"/>
      <c r="CU72" s="122"/>
      <c r="CV72" s="122"/>
      <c r="CW72" s="122"/>
      <c r="CX72" s="122"/>
      <c r="CY72" s="122"/>
      <c r="CZ72" s="122"/>
      <c r="DA72" s="122"/>
      <c r="DB72" s="122"/>
      <c r="DC72" s="122"/>
      <c r="DD72" s="122"/>
      <c r="DE72" s="122"/>
      <c r="DF72" s="122"/>
      <c r="DG72" s="122"/>
      <c r="DH72" s="122"/>
      <c r="DI72" s="122"/>
      <c r="DJ72" s="122"/>
      <c r="DK72" s="122"/>
      <c r="DL72" s="122"/>
      <c r="DM72" s="122"/>
      <c r="DN72" s="122"/>
      <c r="DO72" s="122"/>
      <c r="DP72" s="68"/>
      <c r="DQ72" s="68"/>
      <c r="DU72" s="68"/>
      <c r="DV72" s="68"/>
      <c r="DW72" s="44"/>
      <c r="DX72" s="44"/>
      <c r="DY72" s="44"/>
      <c r="DZ72" s="68"/>
      <c r="EA72" s="68"/>
      <c r="EB72" s="68"/>
      <c r="EC72" s="68"/>
      <c r="ED72" s="68"/>
      <c r="EE72" s="68"/>
      <c r="EF72" s="68"/>
      <c r="EG72" s="44"/>
      <c r="EH72" s="44"/>
      <c r="EI72" s="44"/>
      <c r="EJ72" s="68"/>
      <c r="EK72" s="65"/>
      <c r="EL72" s="68"/>
      <c r="EM72" s="44"/>
      <c r="EN72" s="44"/>
      <c r="EO72" s="44"/>
      <c r="EP72" s="44"/>
      <c r="EQ72" s="44"/>
      <c r="ER72" s="44"/>
      <c r="ES72" s="44"/>
      <c r="ET72" s="44"/>
      <c r="EU72" s="44">
        <f t="shared" si="15"/>
        <v>43</v>
      </c>
      <c r="EV72" s="44">
        <f t="shared" si="3"/>
        <v>0</v>
      </c>
      <c r="EW72" s="44"/>
      <c r="EX72" s="44"/>
      <c r="EY72" s="44"/>
      <c r="EZ72" s="44"/>
      <c r="FA72" s="44"/>
      <c r="FB72" s="44"/>
      <c r="FC72" s="44"/>
      <c r="FD72" s="44"/>
      <c r="FE72" s="44"/>
      <c r="FF72" s="44"/>
      <c r="FG72" s="44"/>
      <c r="FH72" s="44"/>
      <c r="FI72" s="44"/>
      <c r="FJ72" s="44"/>
      <c r="FK72" s="44"/>
      <c r="FL72" s="44"/>
      <c r="FM72" s="44"/>
      <c r="FN72" s="44"/>
      <c r="FO72" s="44"/>
      <c r="FP72" s="44"/>
      <c r="FQ72" s="81"/>
      <c r="FR72" s="44"/>
      <c r="FS72" s="82"/>
      <c r="FT72" s="44"/>
    </row>
    <row r="73" spans="2:177" collapsed="1">
      <c r="B73" s="4" t="s">
        <v>707</v>
      </c>
      <c r="C73" s="62"/>
      <c r="D73" s="62"/>
      <c r="E73" s="62"/>
      <c r="F73" s="62"/>
      <c r="G73" s="62" t="s">
        <v>605</v>
      </c>
      <c r="H73" s="62" t="s">
        <v>605</v>
      </c>
      <c r="I73" s="62" t="s">
        <v>605</v>
      </c>
      <c r="J73" s="62" t="s">
        <v>605</v>
      </c>
      <c r="K73" s="62" t="s">
        <v>605</v>
      </c>
      <c r="L73" s="62" t="s">
        <v>605</v>
      </c>
      <c r="M73" s="62" t="s">
        <v>605</v>
      </c>
      <c r="N73" s="62" t="s">
        <v>605</v>
      </c>
      <c r="O73" s="62" t="s">
        <v>605</v>
      </c>
      <c r="P73" s="62" t="s">
        <v>605</v>
      </c>
      <c r="Q73" s="62" t="s">
        <v>605</v>
      </c>
      <c r="R73" s="62" t="s">
        <v>605</v>
      </c>
      <c r="S73" s="62" t="s">
        <v>605</v>
      </c>
      <c r="T73" s="62" t="s">
        <v>605</v>
      </c>
      <c r="U73" s="62" t="s">
        <v>605</v>
      </c>
      <c r="V73" s="62" t="s">
        <v>605</v>
      </c>
      <c r="W73" s="62" t="s">
        <v>605</v>
      </c>
      <c r="X73" s="62" t="s">
        <v>605</v>
      </c>
      <c r="Y73" s="62" t="s">
        <v>605</v>
      </c>
      <c r="Z73" s="62" t="s">
        <v>605</v>
      </c>
      <c r="AA73" s="62" t="s">
        <v>605</v>
      </c>
      <c r="AE73" s="44"/>
      <c r="AF73" s="44"/>
      <c r="AG73" s="44"/>
      <c r="AH73" s="44"/>
      <c r="AI73" s="62"/>
      <c r="AK73" s="62" t="s">
        <v>605</v>
      </c>
      <c r="AL73" s="103" t="s">
        <v>605</v>
      </c>
      <c r="AM73" s="103" t="s">
        <v>605</v>
      </c>
      <c r="AN73" s="103" t="s">
        <v>605</v>
      </c>
      <c r="AO73" s="103" t="s">
        <v>605</v>
      </c>
      <c r="AP73" s="103" t="s">
        <v>605</v>
      </c>
      <c r="AQ73" s="70" t="s">
        <v>605</v>
      </c>
      <c r="AR73" s="70" t="s">
        <v>605</v>
      </c>
      <c r="AS73" s="70" t="s">
        <v>605</v>
      </c>
      <c r="AT73" s="70" t="s">
        <v>605</v>
      </c>
      <c r="AU73" s="68" t="s">
        <v>605</v>
      </c>
      <c r="AV73" s="65">
        <f>45+28</f>
        <v>73</v>
      </c>
      <c r="AW73" s="44">
        <v>95</v>
      </c>
      <c r="AX73" s="70">
        <v>95</v>
      </c>
      <c r="AY73" s="75" t="s">
        <v>708</v>
      </c>
      <c r="AZ73" s="44">
        <v>94</v>
      </c>
      <c r="BA73" s="44">
        <v>111</v>
      </c>
      <c r="BB73" s="44">
        <v>131</v>
      </c>
      <c r="BC73" s="65">
        <f>69+45</f>
        <v>114</v>
      </c>
      <c r="BD73" s="44">
        <v>122</v>
      </c>
      <c r="BE73" s="44">
        <v>116</v>
      </c>
      <c r="BF73" s="65">
        <v>129</v>
      </c>
      <c r="BG73" s="44">
        <v>123</v>
      </c>
      <c r="BH73" s="65">
        <v>130</v>
      </c>
      <c r="BI73" s="44">
        <v>140</v>
      </c>
      <c r="BJ73" s="65">
        <v>142</v>
      </c>
      <c r="BK73" s="65">
        <v>136</v>
      </c>
      <c r="BL73" s="44">
        <v>143</v>
      </c>
      <c r="BM73" s="44">
        <v>135</v>
      </c>
      <c r="BN73" s="44">
        <v>120</v>
      </c>
      <c r="BO73" s="44">
        <v>72</v>
      </c>
      <c r="BP73" s="44">
        <v>78</v>
      </c>
      <c r="BQ73" s="44">
        <v>75</v>
      </c>
      <c r="BR73" s="44">
        <v>82</v>
      </c>
      <c r="BS73" s="115">
        <v>76</v>
      </c>
      <c r="BT73" s="44">
        <v>68</v>
      </c>
      <c r="BU73" s="44">
        <v>64</v>
      </c>
      <c r="BV73" s="44">
        <v>67</v>
      </c>
      <c r="BW73" s="115">
        <v>63</v>
      </c>
      <c r="BX73" s="115">
        <v>65</v>
      </c>
      <c r="BY73" s="115">
        <v>53</v>
      </c>
      <c r="BZ73" s="44">
        <v>79</v>
      </c>
      <c r="CA73" s="44">
        <v>66</v>
      </c>
      <c r="CB73" s="44">
        <v>74</v>
      </c>
      <c r="CC73" s="44">
        <v>73</v>
      </c>
      <c r="CD73" s="44">
        <v>72</v>
      </c>
      <c r="CE73" s="44">
        <v>65</v>
      </c>
      <c r="CF73" s="44">
        <v>67</v>
      </c>
      <c r="CG73" s="44">
        <v>58</v>
      </c>
      <c r="CH73" s="44">
        <v>62</v>
      </c>
      <c r="CI73" s="44">
        <v>56</v>
      </c>
      <c r="CJ73" s="44">
        <v>54</v>
      </c>
      <c r="CK73" s="44">
        <v>53</v>
      </c>
      <c r="CL73" s="44"/>
      <c r="CM73" s="44"/>
      <c r="CN73" s="115"/>
      <c r="CO73" s="115">
        <v>24</v>
      </c>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t="s">
        <v>605</v>
      </c>
      <c r="DW73" s="68" t="s">
        <v>605</v>
      </c>
      <c r="DX73" s="68" t="s">
        <v>605</v>
      </c>
      <c r="DY73" s="68" t="s">
        <v>605</v>
      </c>
      <c r="DZ73" s="68" t="s">
        <v>605</v>
      </c>
      <c r="EA73" s="68" t="s">
        <v>605</v>
      </c>
      <c r="EB73" s="68" t="s">
        <v>605</v>
      </c>
      <c r="EC73" s="68" t="s">
        <v>605</v>
      </c>
      <c r="ED73" s="68" t="s">
        <v>605</v>
      </c>
      <c r="EE73" s="68" t="s">
        <v>605</v>
      </c>
      <c r="EF73" s="68" t="s">
        <v>605</v>
      </c>
      <c r="EG73" s="68" t="s">
        <v>605</v>
      </c>
      <c r="EH73" s="68" t="s">
        <v>605</v>
      </c>
      <c r="EI73" s="68" t="s">
        <v>605</v>
      </c>
      <c r="EJ73" s="68" t="s">
        <v>605</v>
      </c>
      <c r="EK73" s="65">
        <f>SUM(AY73:BB73)</f>
        <v>336</v>
      </c>
      <c r="EL73" s="44">
        <f t="shared" si="89"/>
        <v>481</v>
      </c>
      <c r="EM73" s="44">
        <f>SUM(BG73:BJ73)</f>
        <v>535</v>
      </c>
      <c r="EN73" s="44">
        <f t="shared" si="78"/>
        <v>534</v>
      </c>
      <c r="EO73" s="44">
        <f t="shared" si="79"/>
        <v>307</v>
      </c>
      <c r="EP73" s="44">
        <f t="shared" si="59"/>
        <v>275</v>
      </c>
      <c r="EQ73" s="44">
        <f t="shared" ref="EQ73:ET73" si="94">EP73*0.5</f>
        <v>137.5</v>
      </c>
      <c r="ER73" s="44">
        <f t="shared" si="94"/>
        <v>68.75</v>
      </c>
      <c r="ES73" s="44">
        <f t="shared" si="94"/>
        <v>34.375</v>
      </c>
      <c r="ET73" s="44">
        <f t="shared" si="94"/>
        <v>17.1875</v>
      </c>
      <c r="EU73" s="44">
        <f t="shared" si="15"/>
        <v>24</v>
      </c>
      <c r="EV73" s="44">
        <f t="shared" si="3"/>
        <v>0</v>
      </c>
      <c r="EW73" s="44">
        <f t="shared" si="4"/>
        <v>0</v>
      </c>
      <c r="EX73" s="44">
        <f t="shared" si="63"/>
        <v>0</v>
      </c>
      <c r="FQ73" s="81">
        <f>EL73*0.2</f>
        <v>96.2</v>
      </c>
      <c r="FR73" s="44">
        <f>EQ73*0.1</f>
        <v>13.75</v>
      </c>
      <c r="FS73" s="82">
        <v>0</v>
      </c>
    </row>
    <row r="74" spans="2:177" collapsed="1">
      <c r="B74" s="4" t="s">
        <v>711</v>
      </c>
      <c r="C74" s="37">
        <v>154</v>
      </c>
      <c r="D74" s="37">
        <v>148</v>
      </c>
      <c r="E74" s="37">
        <v>160</v>
      </c>
      <c r="F74" s="44">
        <f t="shared" ref="F74" si="95">DY74-E74-D74-C74</f>
        <v>164</v>
      </c>
      <c r="G74" s="37">
        <f>82+85</f>
        <v>167</v>
      </c>
      <c r="H74" s="37">
        <f>67+90</f>
        <v>157</v>
      </c>
      <c r="I74" s="37">
        <f>85+87</f>
        <v>172</v>
      </c>
      <c r="J74" s="37">
        <f>81+102</f>
        <v>183</v>
      </c>
      <c r="K74" s="37">
        <f>93+98</f>
        <v>191</v>
      </c>
      <c r="L74" s="37">
        <f>77+108</f>
        <v>185</v>
      </c>
      <c r="M74" s="37">
        <f>90+105</f>
        <v>195</v>
      </c>
      <c r="N74" s="37">
        <f>92+121</f>
        <v>213</v>
      </c>
      <c r="O74" s="37">
        <f>88+114</f>
        <v>202</v>
      </c>
      <c r="P74" s="37">
        <f>72+125</f>
        <v>197</v>
      </c>
      <c r="Q74" s="37">
        <f>92+118</f>
        <v>210</v>
      </c>
      <c r="R74" s="37">
        <f>57+129</f>
        <v>186</v>
      </c>
      <c r="S74" s="37">
        <f>20+123</f>
        <v>143</v>
      </c>
      <c r="T74" s="37">
        <f>8+124</f>
        <v>132</v>
      </c>
      <c r="U74" s="37">
        <f>8+119</f>
        <v>127</v>
      </c>
      <c r="V74" s="37">
        <f>14+135</f>
        <v>149</v>
      </c>
      <c r="W74" s="44">
        <f>11+120</f>
        <v>131</v>
      </c>
      <c r="X74" s="44">
        <f>2+130</f>
        <v>132</v>
      </c>
      <c r="Y74" s="44">
        <f>3+129</f>
        <v>132</v>
      </c>
      <c r="Z74" s="44">
        <f>6+130</f>
        <v>136</v>
      </c>
      <c r="AA74" s="44">
        <f>5+130</f>
        <v>135</v>
      </c>
      <c r="AB74" s="44">
        <f>4+137</f>
        <v>141</v>
      </c>
      <c r="AC74" s="44">
        <f>5+147</f>
        <v>152</v>
      </c>
      <c r="AD74" s="44">
        <f>5+162</f>
        <v>167</v>
      </c>
      <c r="AE74" s="44">
        <f>3+145</f>
        <v>148</v>
      </c>
      <c r="AF74" s="44">
        <f>1+160</f>
        <v>161</v>
      </c>
      <c r="AG74" s="44">
        <f>1+149</f>
        <v>150</v>
      </c>
      <c r="AH74" s="44">
        <f>1+167</f>
        <v>168</v>
      </c>
      <c r="AI74" s="68">
        <f>1+152</f>
        <v>153</v>
      </c>
      <c r="AJ74" s="37">
        <f>1+154</f>
        <v>155</v>
      </c>
      <c r="AK74" s="44">
        <f>2+130</f>
        <v>132</v>
      </c>
      <c r="AL74" s="65">
        <v>146</v>
      </c>
      <c r="AM74" s="65">
        <v>126</v>
      </c>
      <c r="AN74" s="65">
        <v>139</v>
      </c>
      <c r="AO74" s="65">
        <v>133</v>
      </c>
      <c r="AP74" s="70">
        <v>140</v>
      </c>
      <c r="AQ74" s="65">
        <v>134</v>
      </c>
      <c r="AR74" s="65">
        <v>125</v>
      </c>
      <c r="AS74" s="65">
        <f>1+118</f>
        <v>119</v>
      </c>
      <c r="AT74" s="65">
        <v>128</v>
      </c>
      <c r="AU74" s="44">
        <f>2+119</f>
        <v>121</v>
      </c>
      <c r="AV74" s="65">
        <f>1+131</f>
        <v>132</v>
      </c>
      <c r="AW74" s="44">
        <v>125</v>
      </c>
      <c r="AX74" s="65">
        <v>121</v>
      </c>
      <c r="AY74" s="65">
        <v>107</v>
      </c>
      <c r="AZ74" s="44">
        <v>114</v>
      </c>
      <c r="BA74" s="44">
        <v>109</v>
      </c>
      <c r="BB74" s="44">
        <v>127</v>
      </c>
      <c r="BC74" s="65">
        <f>8+99</f>
        <v>107</v>
      </c>
      <c r="BD74" s="44">
        <v>110</v>
      </c>
      <c r="BE74" s="44">
        <v>95</v>
      </c>
      <c r="BF74" s="65">
        <v>101</v>
      </c>
      <c r="BG74" s="44">
        <v>96</v>
      </c>
      <c r="BH74" s="65">
        <v>101</v>
      </c>
      <c r="BI74" s="44">
        <v>92</v>
      </c>
      <c r="BJ74" s="65">
        <v>91</v>
      </c>
      <c r="BK74" s="65">
        <v>84</v>
      </c>
      <c r="BL74" s="44">
        <v>91</v>
      </c>
      <c r="BM74" s="44">
        <v>79</v>
      </c>
      <c r="BN74" s="44">
        <v>84</v>
      </c>
      <c r="BO74" s="44">
        <v>76</v>
      </c>
      <c r="BP74" s="44">
        <v>75</v>
      </c>
      <c r="BQ74" s="44">
        <v>70</v>
      </c>
      <c r="BR74" s="44">
        <v>75</v>
      </c>
      <c r="BS74" s="115">
        <v>66</v>
      </c>
      <c r="BT74" s="44">
        <v>68</v>
      </c>
      <c r="BU74" s="44">
        <v>64</v>
      </c>
      <c r="BV74" s="44">
        <v>64</v>
      </c>
      <c r="BW74" s="115">
        <v>52</v>
      </c>
      <c r="BX74" s="115">
        <v>55</v>
      </c>
      <c r="BY74" s="115">
        <v>52</v>
      </c>
      <c r="BZ74" s="44">
        <v>52</v>
      </c>
      <c r="CA74" s="44">
        <v>45</v>
      </c>
      <c r="CB74" s="44">
        <v>48</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v>313</v>
      </c>
      <c r="DW74" s="44">
        <v>413</v>
      </c>
      <c r="DX74" s="44">
        <v>533</v>
      </c>
      <c r="DY74" s="44">
        <f>278+348</f>
        <v>626</v>
      </c>
      <c r="DZ74" s="68">
        <f>SUM(G74:J74)</f>
        <v>679</v>
      </c>
      <c r="EA74" s="68">
        <f>SUM(K74:N74)</f>
        <v>784</v>
      </c>
      <c r="EB74" s="68">
        <f>SUM(O74:R74)</f>
        <v>795</v>
      </c>
      <c r="EC74" s="68">
        <f>SUM(S74:V74)</f>
        <v>551</v>
      </c>
      <c r="ED74" s="68">
        <f>SUM(W74:Z74)</f>
        <v>531</v>
      </c>
      <c r="EE74" s="68">
        <f>SUM(AA74:AD74)</f>
        <v>595</v>
      </c>
      <c r="EF74" s="68">
        <f>SUM(AE74:AH74)</f>
        <v>627</v>
      </c>
      <c r="EG74" s="44">
        <v>586</v>
      </c>
      <c r="EH74" s="44">
        <v>538</v>
      </c>
      <c r="EI74" s="44">
        <f t="shared" ref="EI74:EI76" si="96">SUM(AQ74:AT74)</f>
        <v>506</v>
      </c>
      <c r="EJ74" s="44">
        <f t="shared" ref="EJ74:EJ76" si="97">SUM(AU74:AX74)</f>
        <v>499</v>
      </c>
      <c r="EK74" s="65">
        <f t="shared" ref="EK74:EK76" si="98">SUM(AY74:BB74)</f>
        <v>457</v>
      </c>
      <c r="EL74" s="44">
        <f t="shared" ref="EL74:EL76" si="99">SUM(BC74:BF74)</f>
        <v>413</v>
      </c>
      <c r="EM74" s="44">
        <f t="shared" si="54"/>
        <v>380</v>
      </c>
      <c r="EN74" s="44">
        <f t="shared" si="55"/>
        <v>338</v>
      </c>
      <c r="EO74" s="44">
        <f t="shared" si="56"/>
        <v>296</v>
      </c>
      <c r="EP74" s="44">
        <f t="shared" si="41"/>
        <v>262</v>
      </c>
      <c r="EQ74" s="44">
        <f t="shared" ref="EQ74:ET74" si="100">EP74*0.85</f>
        <v>222.7</v>
      </c>
      <c r="ER74" s="44">
        <f t="shared" si="100"/>
        <v>189.29499999999999</v>
      </c>
      <c r="ES74" s="44">
        <f t="shared" si="100"/>
        <v>160.90074999999999</v>
      </c>
      <c r="ET74" s="44">
        <f t="shared" si="100"/>
        <v>136.7656375</v>
      </c>
      <c r="EU74" s="44">
        <f t="shared" si="15"/>
        <v>0</v>
      </c>
      <c r="EV74" s="44">
        <f t="shared" si="3"/>
        <v>0</v>
      </c>
      <c r="EW74" s="44">
        <f t="shared" si="4"/>
        <v>0</v>
      </c>
      <c r="EX74" s="44">
        <f t="shared" si="63"/>
        <v>0</v>
      </c>
      <c r="FQ74" s="81">
        <f>EL74*0.2</f>
        <v>82.600000000000009</v>
      </c>
      <c r="FR74" s="44">
        <f>EQ74*0.1</f>
        <v>22.27</v>
      </c>
      <c r="FS74" s="82">
        <f>EV74*0.1</f>
        <v>0</v>
      </c>
      <c r="FU74" s="14" t="s">
        <v>712</v>
      </c>
    </row>
    <row r="75" spans="2:177">
      <c r="B75" s="14" t="s">
        <v>196</v>
      </c>
      <c r="C75" s="68"/>
      <c r="D75" s="68"/>
      <c r="E75" s="68"/>
      <c r="F75" s="68"/>
      <c r="G75" s="68"/>
      <c r="H75" s="68"/>
      <c r="I75" s="68"/>
      <c r="J75" s="68"/>
      <c r="K75" s="68"/>
      <c r="L75" s="68"/>
      <c r="M75" s="68"/>
      <c r="N75" s="68"/>
      <c r="O75" s="68"/>
      <c r="P75" s="68"/>
      <c r="Q75" s="68"/>
      <c r="R75" s="68"/>
      <c r="S75" s="68"/>
      <c r="T75" s="68"/>
      <c r="U75" s="68"/>
      <c r="V75" s="68"/>
      <c r="W75" s="68"/>
      <c r="X75" s="68"/>
      <c r="Y75" s="68"/>
      <c r="Z75" s="62"/>
      <c r="AA75" s="68"/>
      <c r="AB75" s="68"/>
      <c r="AC75" s="68"/>
      <c r="AD75" s="62"/>
      <c r="AI75" s="68"/>
      <c r="AJ75" s="68"/>
      <c r="AK75" s="68"/>
      <c r="AL75" s="70"/>
      <c r="AM75" s="69"/>
      <c r="AN75" s="69"/>
      <c r="AO75" s="69"/>
      <c r="AP75" s="103"/>
      <c r="AQ75" s="65"/>
      <c r="AR75" s="65"/>
      <c r="AS75" s="65"/>
      <c r="AT75" s="65"/>
      <c r="AU75" s="44"/>
      <c r="AV75" s="65"/>
      <c r="AW75" s="44"/>
      <c r="AX75" s="65"/>
      <c r="AY75" s="65"/>
      <c r="AZ75" s="44"/>
      <c r="BA75" s="44"/>
      <c r="BB75" s="44"/>
      <c r="BC75" s="65">
        <v>91</v>
      </c>
      <c r="BD75" s="44">
        <v>97</v>
      </c>
      <c r="BE75" s="44">
        <v>104</v>
      </c>
      <c r="BF75" s="65">
        <v>96</v>
      </c>
      <c r="BG75" s="44">
        <v>89</v>
      </c>
      <c r="BH75" s="65">
        <v>100</v>
      </c>
      <c r="BI75" s="44">
        <v>96</v>
      </c>
      <c r="BJ75" s="65">
        <v>87</v>
      </c>
      <c r="BK75" s="65">
        <v>82</v>
      </c>
      <c r="BL75" s="44">
        <v>85</v>
      </c>
      <c r="BM75" s="44">
        <v>92</v>
      </c>
      <c r="BN75" s="44">
        <v>87</v>
      </c>
      <c r="BO75" s="44">
        <v>84</v>
      </c>
      <c r="BP75" s="44">
        <v>86</v>
      </c>
      <c r="BQ75" s="44">
        <v>91</v>
      </c>
      <c r="BR75" s="44">
        <v>89</v>
      </c>
      <c r="BS75" s="115">
        <v>88</v>
      </c>
      <c r="BT75" s="44">
        <v>87</v>
      </c>
      <c r="BU75" s="44">
        <v>96</v>
      </c>
      <c r="BV75" s="44">
        <v>69</v>
      </c>
      <c r="BW75" s="115">
        <v>53</v>
      </c>
      <c r="BX75" s="115">
        <v>53</v>
      </c>
      <c r="BY75" s="115">
        <v>32</v>
      </c>
      <c r="BZ75" s="44">
        <v>59</v>
      </c>
      <c r="CA75" s="44">
        <v>45</v>
      </c>
      <c r="CB75" s="44">
        <v>47</v>
      </c>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U75" s="68"/>
      <c r="DV75" s="68"/>
      <c r="DW75" s="68"/>
      <c r="DX75" s="68"/>
      <c r="DY75" s="68"/>
      <c r="DZ75" s="68"/>
      <c r="EA75" s="68"/>
      <c r="EB75" s="68"/>
      <c r="EC75" s="68"/>
      <c r="ED75" s="68"/>
      <c r="EF75" s="44"/>
      <c r="EG75" s="44"/>
      <c r="EH75" s="44"/>
      <c r="EI75" s="44"/>
      <c r="EJ75" s="44"/>
      <c r="EK75" s="65"/>
      <c r="EL75" s="44">
        <f t="shared" si="99"/>
        <v>388</v>
      </c>
      <c r="EM75" s="44">
        <f t="shared" ref="EM75:EM76" si="101">SUM(BG75:BJ75)</f>
        <v>372</v>
      </c>
      <c r="EN75" s="44">
        <f t="shared" si="55"/>
        <v>346</v>
      </c>
      <c r="EO75" s="44">
        <f t="shared" si="56"/>
        <v>350</v>
      </c>
      <c r="EP75" s="44">
        <f t="shared" si="41"/>
        <v>340</v>
      </c>
      <c r="EQ75" s="44">
        <f t="shared" ref="EQ75:ET75" si="102">+EP75</f>
        <v>340</v>
      </c>
      <c r="ER75" s="44">
        <f t="shared" si="102"/>
        <v>340</v>
      </c>
      <c r="ES75" s="44">
        <f t="shared" si="102"/>
        <v>340</v>
      </c>
      <c r="ET75" s="44">
        <f t="shared" si="102"/>
        <v>340</v>
      </c>
      <c r="EU75" s="44">
        <f t="shared" si="15"/>
        <v>0</v>
      </c>
      <c r="EV75" s="44">
        <f t="shared" si="3"/>
        <v>0</v>
      </c>
      <c r="EW75" s="44">
        <f t="shared" si="4"/>
        <v>0</v>
      </c>
      <c r="EX75" s="44">
        <f t="shared" si="63"/>
        <v>0</v>
      </c>
      <c r="FS75" s="82">
        <f>+EV75*0.8</f>
        <v>0</v>
      </c>
      <c r="FU75" s="14"/>
    </row>
    <row r="76" spans="2:177" collapsed="1">
      <c r="B76" s="4" t="s">
        <v>716</v>
      </c>
      <c r="G76" s="37">
        <v>6</v>
      </c>
      <c r="H76" s="37">
        <v>11</v>
      </c>
      <c r="I76" s="37">
        <v>15</v>
      </c>
      <c r="J76" s="37">
        <v>21</v>
      </c>
      <c r="K76" s="37">
        <v>19</v>
      </c>
      <c r="L76" s="37">
        <v>22</v>
      </c>
      <c r="M76" s="37">
        <v>23</v>
      </c>
      <c r="N76" s="37">
        <v>28</v>
      </c>
      <c r="O76" s="37">
        <v>25</v>
      </c>
      <c r="P76" s="37">
        <v>30</v>
      </c>
      <c r="Q76" s="37">
        <v>30</v>
      </c>
      <c r="R76" s="37">
        <v>34</v>
      </c>
      <c r="S76" s="37">
        <v>34</v>
      </c>
      <c r="T76" s="37">
        <v>36</v>
      </c>
      <c r="U76" s="37">
        <v>30</v>
      </c>
      <c r="V76" s="37">
        <v>47</v>
      </c>
      <c r="W76" s="37">
        <v>45</v>
      </c>
      <c r="X76" s="37">
        <v>50</v>
      </c>
      <c r="Y76" s="37">
        <v>53</v>
      </c>
      <c r="Z76" s="37">
        <v>56</v>
      </c>
      <c r="AA76" s="44">
        <v>55</v>
      </c>
      <c r="AB76" s="44">
        <v>58</v>
      </c>
      <c r="AC76" s="44">
        <v>67</v>
      </c>
      <c r="AD76" s="44">
        <v>74</v>
      </c>
      <c r="AE76" s="44">
        <v>71</v>
      </c>
      <c r="AF76" s="44">
        <v>74</v>
      </c>
      <c r="AG76" s="44">
        <v>77</v>
      </c>
      <c r="AH76" s="44">
        <v>87</v>
      </c>
      <c r="AI76" s="68">
        <v>85</v>
      </c>
      <c r="AJ76" s="44">
        <v>86</v>
      </c>
      <c r="AK76" s="37">
        <v>85</v>
      </c>
      <c r="AL76" s="65">
        <v>90</v>
      </c>
      <c r="AM76" s="65">
        <v>82</v>
      </c>
      <c r="AN76" s="69">
        <v>88</v>
      </c>
      <c r="AO76" s="69">
        <v>90</v>
      </c>
      <c r="AP76" s="103">
        <v>98</v>
      </c>
      <c r="AQ76" s="65">
        <v>85</v>
      </c>
      <c r="AR76" s="65">
        <v>100</v>
      </c>
      <c r="AS76" s="65">
        <v>100</v>
      </c>
      <c r="AT76" s="65">
        <v>116</v>
      </c>
      <c r="AU76" s="44">
        <v>104</v>
      </c>
      <c r="AV76" s="65">
        <v>121</v>
      </c>
      <c r="AW76" s="44">
        <v>131</v>
      </c>
      <c r="AX76" s="65">
        <v>126</v>
      </c>
      <c r="AY76" s="65">
        <v>95</v>
      </c>
      <c r="AZ76" s="44">
        <v>108</v>
      </c>
      <c r="BA76" s="44">
        <v>108</v>
      </c>
      <c r="BB76" s="44">
        <v>121</v>
      </c>
      <c r="BC76" s="65">
        <f>0+107</f>
        <v>107</v>
      </c>
      <c r="BD76" s="44">
        <v>103</v>
      </c>
      <c r="BE76" s="44">
        <v>100</v>
      </c>
      <c r="BF76" s="65">
        <v>107</v>
      </c>
      <c r="BG76" s="44">
        <v>99</v>
      </c>
      <c r="BH76" s="65">
        <v>106</v>
      </c>
      <c r="BI76" s="44">
        <v>117</v>
      </c>
      <c r="BJ76" s="65">
        <v>115</v>
      </c>
      <c r="BK76" s="65">
        <v>94</v>
      </c>
      <c r="BL76" s="44">
        <v>84</v>
      </c>
      <c r="BM76" s="44">
        <v>71</v>
      </c>
      <c r="BN76" s="44">
        <v>77</v>
      </c>
      <c r="BO76" s="44">
        <v>62</v>
      </c>
      <c r="BP76" s="44">
        <v>59</v>
      </c>
      <c r="BQ76" s="44">
        <v>52</v>
      </c>
      <c r="BR76" s="44">
        <v>62</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R76" s="44"/>
      <c r="DS76" s="44"/>
      <c r="DT76" s="44"/>
      <c r="DU76" s="68"/>
      <c r="DV76" s="68" t="s">
        <v>605</v>
      </c>
      <c r="DW76" s="68" t="s">
        <v>605</v>
      </c>
      <c r="DX76" s="68" t="s">
        <v>605</v>
      </c>
      <c r="DY76" s="68" t="s">
        <v>605</v>
      </c>
      <c r="DZ76" s="68">
        <f>SUM(G76:J76)</f>
        <v>53</v>
      </c>
      <c r="EA76" s="68">
        <f>SUM(K76:N76)</f>
        <v>92</v>
      </c>
      <c r="EB76" s="68">
        <f>SUM(O76:R76)</f>
        <v>119</v>
      </c>
      <c r="EC76" s="68">
        <f>SUM(S76:V76)</f>
        <v>147</v>
      </c>
      <c r="ED76" s="68">
        <f>SUM(W76:Z76)</f>
        <v>204</v>
      </c>
      <c r="EE76" s="68">
        <f>SUM(AA76:AD76)</f>
        <v>254</v>
      </c>
      <c r="EF76" s="68">
        <f>SUM(AE76:AH76)</f>
        <v>309</v>
      </c>
      <c r="EG76" s="44">
        <v>346</v>
      </c>
      <c r="EH76" s="44">
        <v>358</v>
      </c>
      <c r="EI76" s="44">
        <f t="shared" si="96"/>
        <v>401</v>
      </c>
      <c r="EJ76" s="44">
        <f t="shared" si="97"/>
        <v>482</v>
      </c>
      <c r="EK76" s="65">
        <f t="shared" si="98"/>
        <v>432</v>
      </c>
      <c r="EL76" s="44">
        <f t="shared" si="99"/>
        <v>417</v>
      </c>
      <c r="EM76" s="44">
        <f t="shared" si="101"/>
        <v>437</v>
      </c>
      <c r="EN76" s="44">
        <f t="shared" si="55"/>
        <v>326</v>
      </c>
      <c r="EO76" s="44">
        <f t="shared" si="56"/>
        <v>235</v>
      </c>
      <c r="EP76" s="44">
        <f t="shared" si="41"/>
        <v>0</v>
      </c>
      <c r="EQ76" s="44">
        <f t="shared" ref="EQ76:ET76" si="103">EP76*0.65</f>
        <v>0</v>
      </c>
      <c r="ER76" s="44">
        <f t="shared" si="103"/>
        <v>0</v>
      </c>
      <c r="ES76" s="44">
        <f t="shared" si="103"/>
        <v>0</v>
      </c>
      <c r="ET76" s="44">
        <f t="shared" si="103"/>
        <v>0</v>
      </c>
      <c r="EU76" s="44">
        <f t="shared" si="15"/>
        <v>0</v>
      </c>
      <c r="EV76" s="44">
        <f t="shared" si="3"/>
        <v>0</v>
      </c>
      <c r="EW76" s="44">
        <f t="shared" si="4"/>
        <v>0</v>
      </c>
      <c r="EX76" s="44">
        <f t="shared" si="63"/>
        <v>0</v>
      </c>
      <c r="FQ76" s="81">
        <f t="shared" ref="FQ76" si="104">EL76*0.2</f>
        <v>83.4</v>
      </c>
      <c r="FR76" s="44">
        <f t="shared" ref="FR76" si="105">EQ76*0.1</f>
        <v>0</v>
      </c>
      <c r="FS76" s="82">
        <v>0</v>
      </c>
    </row>
    <row r="77" spans="2:177">
      <c r="B77" s="4" t="s">
        <v>717</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37">
        <v>65</v>
      </c>
      <c r="T77" s="44">
        <f>21+1</f>
        <v>22</v>
      </c>
      <c r="U77" s="44">
        <f>22+1</f>
        <v>23</v>
      </c>
      <c r="V77" s="44">
        <f>38+1</f>
        <v>39</v>
      </c>
      <c r="W77" s="44">
        <f>36+2</f>
        <v>38</v>
      </c>
      <c r="X77" s="44">
        <f>45+3</f>
        <v>48</v>
      </c>
      <c r="Y77" s="44">
        <f>54+3</f>
        <v>57</v>
      </c>
      <c r="Z77" s="44">
        <f>74+5</f>
        <v>79</v>
      </c>
      <c r="AA77" s="44">
        <f>69+9</f>
        <v>78</v>
      </c>
      <c r="AB77" s="44">
        <f>62+12</f>
        <v>74</v>
      </c>
      <c r="AC77" s="44">
        <f>82+14</f>
        <v>96</v>
      </c>
      <c r="AD77" s="44">
        <f>89+16</f>
        <v>105</v>
      </c>
      <c r="AE77" s="44">
        <f>72+16</f>
        <v>88</v>
      </c>
      <c r="AF77" s="44">
        <f>91+19</f>
        <v>110</v>
      </c>
      <c r="AG77" s="44">
        <f>104+21</f>
        <v>125</v>
      </c>
      <c r="AH77" s="44">
        <v>143</v>
      </c>
      <c r="AI77" s="68">
        <f>112+26</f>
        <v>138</v>
      </c>
      <c r="AJ77" s="44">
        <f>119+26</f>
        <v>145</v>
      </c>
      <c r="AK77" s="44">
        <f>121+27</f>
        <v>148</v>
      </c>
      <c r="AL77" s="65">
        <v>159</v>
      </c>
      <c r="AM77" s="65">
        <v>182</v>
      </c>
      <c r="AN77" s="65">
        <v>165</v>
      </c>
      <c r="AO77" s="65">
        <v>201</v>
      </c>
      <c r="AP77" s="103">
        <v>210</v>
      </c>
      <c r="AQ77" s="65">
        <v>216</v>
      </c>
      <c r="AR77" s="65">
        <v>178</v>
      </c>
      <c r="AS77" s="65">
        <v>228</v>
      </c>
      <c r="AT77" s="65">
        <v>232</v>
      </c>
      <c r="AU77" s="44">
        <f>200+41</f>
        <v>241</v>
      </c>
      <c r="AV77" s="65">
        <f>184+48</f>
        <v>232</v>
      </c>
      <c r="AW77" s="44">
        <v>258</v>
      </c>
      <c r="AX77" s="65">
        <v>276</v>
      </c>
      <c r="AY77" s="65">
        <v>230</v>
      </c>
      <c r="AZ77" s="44">
        <v>231</v>
      </c>
      <c r="BA77" s="44">
        <v>252</v>
      </c>
      <c r="BB77" s="44">
        <v>289</v>
      </c>
      <c r="BC77" s="65">
        <f>213+41</f>
        <v>254</v>
      </c>
      <c r="BD77" s="44">
        <v>247</v>
      </c>
      <c r="BE77" s="44">
        <v>262</v>
      </c>
      <c r="BF77" s="65">
        <v>264</v>
      </c>
      <c r="BG77" s="44">
        <v>232</v>
      </c>
      <c r="BH77" s="65">
        <v>258</v>
      </c>
      <c r="BI77" s="44">
        <v>263</v>
      </c>
      <c r="BJ77" s="65">
        <v>269</v>
      </c>
      <c r="BK77" s="65">
        <v>181</v>
      </c>
      <c r="BL77" s="44">
        <v>84</v>
      </c>
      <c r="BM77" s="44">
        <v>57</v>
      </c>
      <c r="BN77" s="44">
        <v>31</v>
      </c>
      <c r="BO77" s="68" t="s">
        <v>605</v>
      </c>
      <c r="BP77" s="68" t="s">
        <v>605</v>
      </c>
      <c r="BQ77" s="68" t="s">
        <v>605</v>
      </c>
      <c r="BR77" s="44">
        <v>77</v>
      </c>
      <c r="BS77" s="115" t="s">
        <v>605</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f>SUM(S77:V77)</f>
        <v>149</v>
      </c>
      <c r="ED77" s="68">
        <f>SUM(W77:Z77)</f>
        <v>222</v>
      </c>
      <c r="EE77" s="68">
        <f>SUM(AA77:AD77)</f>
        <v>353</v>
      </c>
      <c r="EF77" s="68">
        <f>SUM(AE77:AH77)</f>
        <v>466</v>
      </c>
      <c r="EG77" s="44">
        <v>589</v>
      </c>
      <c r="EH77" s="44">
        <v>758</v>
      </c>
      <c r="EI77" s="44">
        <f>SUM(AQ77:AT77)</f>
        <v>854</v>
      </c>
      <c r="EJ77" s="44">
        <f>SUM(AU77:AX77)</f>
        <v>1007</v>
      </c>
      <c r="EK77" s="65">
        <f>SUM(AY77:BB77)</f>
        <v>1002</v>
      </c>
      <c r="EL77" s="68">
        <f>SUM(BC77:BF77)</f>
        <v>1027</v>
      </c>
      <c r="EM77" s="44">
        <f>SUM(BG77:BJ77)</f>
        <v>1022</v>
      </c>
      <c r="EN77" s="44">
        <f>SUM(BK77:BN77)</f>
        <v>353</v>
      </c>
      <c r="EO77" s="44">
        <f>SUM(BO77:BR77)</f>
        <v>77</v>
      </c>
      <c r="EP77" s="44">
        <f t="shared" si="41"/>
        <v>0</v>
      </c>
      <c r="EQ77" s="44">
        <f t="shared" ref="EQ77:ET77" si="106">EP77*0.2</f>
        <v>0</v>
      </c>
      <c r="ER77" s="44">
        <f t="shared" si="106"/>
        <v>0</v>
      </c>
      <c r="ES77" s="44">
        <f t="shared" si="106"/>
        <v>0</v>
      </c>
      <c r="ET77" s="44">
        <f t="shared" si="106"/>
        <v>0</v>
      </c>
      <c r="EU77" s="44">
        <f t="shared" si="15"/>
        <v>0</v>
      </c>
      <c r="EV77" s="44">
        <f t="shared" si="3"/>
        <v>0</v>
      </c>
      <c r="EW77" s="44">
        <f t="shared" si="4"/>
        <v>0</v>
      </c>
      <c r="EX77" s="44">
        <f t="shared" si="63"/>
        <v>0</v>
      </c>
      <c r="FQ77" s="81">
        <f>EL77*0.5</f>
        <v>513.5</v>
      </c>
      <c r="FR77" s="44">
        <f>EQ77*0.1</f>
        <v>0</v>
      </c>
      <c r="FS77" s="82">
        <v>0</v>
      </c>
      <c r="FU77" s="14" t="s">
        <v>718</v>
      </c>
    </row>
    <row r="78" spans="2:177" collapsed="1">
      <c r="B78" s="4" t="s">
        <v>719</v>
      </c>
      <c r="C78" s="62"/>
      <c r="D78" s="62"/>
      <c r="E78" s="62"/>
      <c r="F78" s="62"/>
      <c r="G78" s="62" t="s">
        <v>605</v>
      </c>
      <c r="H78" s="62" t="s">
        <v>605</v>
      </c>
      <c r="I78" s="62" t="s">
        <v>605</v>
      </c>
      <c r="J78" s="62" t="s">
        <v>605</v>
      </c>
      <c r="K78" s="62" t="s">
        <v>605</v>
      </c>
      <c r="L78" s="62" t="s">
        <v>605</v>
      </c>
      <c r="M78" s="62" t="s">
        <v>605</v>
      </c>
      <c r="N78" s="62" t="s">
        <v>605</v>
      </c>
      <c r="O78" s="62" t="s">
        <v>605</v>
      </c>
      <c r="P78" s="62" t="s">
        <v>605</v>
      </c>
      <c r="Q78" s="62" t="s">
        <v>605</v>
      </c>
      <c r="R78" s="62" t="s">
        <v>605</v>
      </c>
      <c r="S78" s="62" t="s">
        <v>605</v>
      </c>
      <c r="T78" s="62" t="s">
        <v>605</v>
      </c>
      <c r="U78" s="62" t="s">
        <v>605</v>
      </c>
      <c r="V78" s="62" t="s">
        <v>605</v>
      </c>
      <c r="W78" s="62" t="s">
        <v>605</v>
      </c>
      <c r="X78" s="62" t="s">
        <v>605</v>
      </c>
      <c r="Y78" s="62" t="s">
        <v>605</v>
      </c>
      <c r="Z78" s="62" t="s">
        <v>605</v>
      </c>
      <c r="AA78" s="62" t="s">
        <v>605</v>
      </c>
      <c r="AB78" s="62" t="s">
        <v>605</v>
      </c>
      <c r="AC78" s="62" t="s">
        <v>605</v>
      </c>
      <c r="AD78" s="62" t="s">
        <v>605</v>
      </c>
      <c r="AE78" s="44">
        <v>28</v>
      </c>
      <c r="AF78" s="44">
        <v>2</v>
      </c>
      <c r="AG78" s="44">
        <v>5</v>
      </c>
      <c r="AH78" s="44">
        <v>15</v>
      </c>
      <c r="AI78" s="68">
        <f>30+1</f>
        <v>31</v>
      </c>
      <c r="AJ78" s="44">
        <v>41</v>
      </c>
      <c r="AK78" s="44">
        <v>48</v>
      </c>
      <c r="AL78" s="65">
        <v>65</v>
      </c>
      <c r="AM78" s="65">
        <v>77</v>
      </c>
      <c r="AN78" s="65">
        <v>80</v>
      </c>
      <c r="AO78" s="65">
        <v>98</v>
      </c>
      <c r="AP78" s="70">
        <v>115</v>
      </c>
      <c r="AQ78" s="65">
        <v>146</v>
      </c>
      <c r="AR78" s="65">
        <v>119</v>
      </c>
      <c r="AS78" s="65">
        <f>128+21</f>
        <v>149</v>
      </c>
      <c r="AT78" s="65">
        <v>154</v>
      </c>
      <c r="AU78" s="44">
        <f>120+27</f>
        <v>147</v>
      </c>
      <c r="AV78" s="65">
        <f>116+30</f>
        <v>146</v>
      </c>
      <c r="AW78" s="44">
        <v>148</v>
      </c>
      <c r="AX78" s="65">
        <v>148</v>
      </c>
      <c r="AY78" s="65">
        <v>134</v>
      </c>
      <c r="AZ78" s="44">
        <v>128</v>
      </c>
      <c r="BA78" s="44">
        <v>130</v>
      </c>
      <c r="BB78" s="44">
        <v>156</v>
      </c>
      <c r="BC78" s="65">
        <f>86+49</f>
        <v>135</v>
      </c>
      <c r="BD78" s="44">
        <v>126</v>
      </c>
      <c r="BE78" s="44">
        <v>127</v>
      </c>
      <c r="BF78" s="65">
        <v>139</v>
      </c>
      <c r="BG78" s="44">
        <v>142</v>
      </c>
      <c r="BH78" s="65">
        <v>143</v>
      </c>
      <c r="BI78" s="44">
        <v>150</v>
      </c>
      <c r="BJ78" s="65">
        <v>103</v>
      </c>
      <c r="BK78" s="65">
        <v>65</v>
      </c>
      <c r="BL78" s="44">
        <v>58</v>
      </c>
      <c r="BM78" s="44">
        <v>68</v>
      </c>
      <c r="BN78" s="44">
        <v>67</v>
      </c>
      <c r="BO78" s="44">
        <v>56</v>
      </c>
      <c r="BP78" s="44">
        <v>56</v>
      </c>
      <c r="BQ78" s="44">
        <v>52</v>
      </c>
      <c r="BR78" s="44">
        <v>59</v>
      </c>
      <c r="BS78" s="115">
        <v>50</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t="s">
        <v>605</v>
      </c>
      <c r="DW78" s="68" t="s">
        <v>605</v>
      </c>
      <c r="DX78" s="68" t="s">
        <v>605</v>
      </c>
      <c r="DY78" s="68" t="s">
        <v>605</v>
      </c>
      <c r="DZ78" s="68" t="s">
        <v>605</v>
      </c>
      <c r="EA78" s="68" t="s">
        <v>605</v>
      </c>
      <c r="EB78" s="68" t="s">
        <v>605</v>
      </c>
      <c r="EC78" s="68" t="s">
        <v>605</v>
      </c>
      <c r="ED78" s="68" t="s">
        <v>605</v>
      </c>
      <c r="EE78" s="68" t="s">
        <v>605</v>
      </c>
      <c r="EF78" s="44">
        <f>SUM(AE78:AH78)</f>
        <v>50</v>
      </c>
      <c r="EG78" s="44">
        <v>185</v>
      </c>
      <c r="EH78" s="44">
        <v>370</v>
      </c>
      <c r="EI78" s="44">
        <f>SUM(AQ78:AT78)</f>
        <v>568</v>
      </c>
      <c r="EJ78" s="44">
        <f>SUM(AU78:AX78)</f>
        <v>589</v>
      </c>
      <c r="EK78" s="65">
        <f>SUM(AY78:BB78)</f>
        <v>548</v>
      </c>
      <c r="EL78" s="44">
        <f>SUM(BC78:BF78)</f>
        <v>527</v>
      </c>
      <c r="EM78" s="44">
        <f>SUM(BG78:BJ78)</f>
        <v>538</v>
      </c>
      <c r="EN78" s="44">
        <f>SUM(BK78:BN78)</f>
        <v>258</v>
      </c>
      <c r="EO78" s="44">
        <f>SUM(BO78:BR78)</f>
        <v>223</v>
      </c>
      <c r="EP78" s="44">
        <f t="shared" si="41"/>
        <v>50</v>
      </c>
      <c r="EQ78" s="44">
        <f t="shared" ref="EQ78:ET78" si="107">+EP78*0.9</f>
        <v>45</v>
      </c>
      <c r="ER78" s="44">
        <f t="shared" si="107"/>
        <v>40.5</v>
      </c>
      <c r="ES78" s="44">
        <f t="shared" si="107"/>
        <v>36.450000000000003</v>
      </c>
      <c r="ET78" s="44">
        <f t="shared" si="107"/>
        <v>32.805000000000007</v>
      </c>
      <c r="EU78" s="44">
        <f t="shared" si="15"/>
        <v>0</v>
      </c>
      <c r="EV78" s="44">
        <f t="shared" si="3"/>
        <v>0</v>
      </c>
      <c r="EW78" s="44">
        <f t="shared" si="4"/>
        <v>0</v>
      </c>
      <c r="EX78" s="44">
        <f t="shared" si="63"/>
        <v>0</v>
      </c>
      <c r="FQ78" s="81">
        <f>EL78*0.2</f>
        <v>105.4</v>
      </c>
      <c r="FR78" s="44">
        <f>EQ78*0.1</f>
        <v>4.5</v>
      </c>
      <c r="FS78" s="82">
        <f t="shared" ref="FS78:FS84" si="108">+EV78*0.5</f>
        <v>0</v>
      </c>
      <c r="FU78" s="14"/>
    </row>
    <row r="79" spans="2:177">
      <c r="B79" s="14" t="s">
        <v>720</v>
      </c>
      <c r="W79" s="44"/>
      <c r="X79" s="44"/>
      <c r="Y79" s="44"/>
      <c r="Z79" s="44"/>
      <c r="AA79" s="44"/>
      <c r="AB79" s="44"/>
      <c r="AC79" s="44"/>
      <c r="AD79" s="44"/>
      <c r="AE79" s="44"/>
      <c r="AF79" s="44"/>
      <c r="AG79" s="44"/>
      <c r="AH79" s="44"/>
      <c r="AI79" s="68"/>
      <c r="AJ79" s="44"/>
      <c r="AK79" s="44"/>
      <c r="AL79" s="65"/>
      <c r="AM79" s="65"/>
      <c r="AN79" s="65"/>
      <c r="AO79" s="65"/>
      <c r="AP79" s="70"/>
      <c r="AQ79" s="65"/>
      <c r="AR79" s="65"/>
      <c r="AS79" s="65"/>
      <c r="AT79" s="65"/>
      <c r="AU79" s="44"/>
      <c r="AV79" s="65"/>
      <c r="AW79" s="44"/>
      <c r="AX79" s="65"/>
      <c r="AY79" s="65"/>
      <c r="AZ79" s="44"/>
      <c r="BA79" s="44"/>
      <c r="BB79" s="44"/>
      <c r="BC79" s="65"/>
      <c r="BD79" s="44"/>
      <c r="BE79" s="44">
        <v>61</v>
      </c>
      <c r="BF79" s="65">
        <v>65</v>
      </c>
      <c r="BG79" s="44"/>
      <c r="BH79" s="65">
        <v>62</v>
      </c>
      <c r="BI79" s="44">
        <v>61</v>
      </c>
      <c r="BJ79" s="65">
        <v>60</v>
      </c>
      <c r="BK79" s="65">
        <v>56</v>
      </c>
      <c r="BL79" s="44">
        <v>53</v>
      </c>
      <c r="BM79" s="44">
        <v>50</v>
      </c>
      <c r="BN79" s="68" t="s">
        <v>605</v>
      </c>
      <c r="BO79" s="68" t="s">
        <v>605</v>
      </c>
      <c r="BP79" s="68" t="s">
        <v>605</v>
      </c>
      <c r="BQ79" s="68" t="s">
        <v>605</v>
      </c>
      <c r="BR79" s="68" t="s">
        <v>605</v>
      </c>
      <c r="BS79" s="115" t="s">
        <v>605</v>
      </c>
      <c r="BT79" s="44" t="s">
        <v>605</v>
      </c>
      <c r="BU79" s="44"/>
      <c r="BV79" s="44"/>
      <c r="BW79" s="115"/>
      <c r="BX79" s="115"/>
      <c r="BY79" s="115"/>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c r="DW79" s="44"/>
      <c r="DX79" s="44"/>
      <c r="DY79" s="44"/>
      <c r="DZ79" s="68"/>
      <c r="EA79" s="68"/>
      <c r="EB79" s="68"/>
      <c r="EC79" s="68"/>
      <c r="ED79" s="68"/>
      <c r="EE79" s="68"/>
      <c r="EF79" s="68"/>
      <c r="EG79" s="44"/>
      <c r="EH79" s="44"/>
      <c r="EI79" s="44"/>
      <c r="EJ79" s="44"/>
      <c r="EK79" s="65"/>
      <c r="EN79" s="44">
        <f t="shared" ref="EN79:EN84" si="109">SUM(BK79:BN79)</f>
        <v>159</v>
      </c>
      <c r="EO79" s="44">
        <f t="shared" ref="EO79:EO84" si="110">SUM(BO79:BR79)</f>
        <v>0</v>
      </c>
      <c r="EP79" s="44">
        <f t="shared" si="41"/>
        <v>0</v>
      </c>
      <c r="EQ79" s="44">
        <f t="shared" ref="EQ79:ET79" si="111">+EP79*0.9</f>
        <v>0</v>
      </c>
      <c r="ER79" s="44">
        <f t="shared" si="111"/>
        <v>0</v>
      </c>
      <c r="ES79" s="44">
        <f t="shared" si="111"/>
        <v>0</v>
      </c>
      <c r="ET79" s="44">
        <f t="shared" si="111"/>
        <v>0</v>
      </c>
      <c r="EU79" s="44">
        <f t="shared" si="15"/>
        <v>0</v>
      </c>
      <c r="EV79" s="44">
        <f t="shared" si="3"/>
        <v>0</v>
      </c>
      <c r="EW79" s="44">
        <f t="shared" si="4"/>
        <v>0</v>
      </c>
      <c r="EX79" s="44">
        <f t="shared" si="63"/>
        <v>0</v>
      </c>
      <c r="FQ79" s="44"/>
      <c r="FS79" s="82">
        <f t="shared" si="108"/>
        <v>0</v>
      </c>
    </row>
    <row r="80" spans="2:177" collapsed="1">
      <c r="B80" s="14" t="s">
        <v>1627</v>
      </c>
      <c r="G80" s="37">
        <f>81+15</f>
        <v>96</v>
      </c>
      <c r="H80" s="37">
        <f>105+17</f>
        <v>122</v>
      </c>
      <c r="I80" s="37">
        <f>113+19</f>
        <v>132</v>
      </c>
      <c r="J80" s="37">
        <f>143+21</f>
        <v>164</v>
      </c>
      <c r="K80" s="37">
        <f>152+24</f>
        <v>176</v>
      </c>
      <c r="L80" s="37">
        <f>178+28</f>
        <v>206</v>
      </c>
      <c r="M80" s="37">
        <f>207+30</f>
        <v>237</v>
      </c>
      <c r="N80" s="37">
        <f>259+35</f>
        <v>294</v>
      </c>
      <c r="O80" s="37">
        <f>264+36</f>
        <v>300</v>
      </c>
      <c r="P80" s="37">
        <f>286+42</f>
        <v>328</v>
      </c>
      <c r="Q80" s="37">
        <f>295+40</f>
        <v>335</v>
      </c>
      <c r="R80" s="37">
        <f>330+41</f>
        <v>371</v>
      </c>
      <c r="S80" s="37">
        <f>331+48</f>
        <v>379</v>
      </c>
      <c r="T80" s="44">
        <f>374+58</f>
        <v>432</v>
      </c>
      <c r="U80" s="44">
        <f>379+63</f>
        <v>442</v>
      </c>
      <c r="V80" s="44">
        <f>427+71</f>
        <v>498</v>
      </c>
      <c r="W80" s="44">
        <f>499+69</f>
        <v>568</v>
      </c>
      <c r="X80" s="44">
        <f>381+77</f>
        <v>458</v>
      </c>
      <c r="Y80" s="44">
        <f>480+87</f>
        <v>567</v>
      </c>
      <c r="Z80" s="44">
        <f>575+101</f>
        <v>676</v>
      </c>
      <c r="AA80" s="44">
        <f>522+102</f>
        <v>624</v>
      </c>
      <c r="AB80" s="44">
        <f>473+119</f>
        <v>592</v>
      </c>
      <c r="AC80" s="44">
        <f>567+131</f>
        <v>698</v>
      </c>
      <c r="AD80" s="44">
        <f>642+146</f>
        <v>788</v>
      </c>
      <c r="AE80" s="44">
        <f>570+126</f>
        <v>696</v>
      </c>
      <c r="AF80" s="44">
        <f>644+138</f>
        <v>782</v>
      </c>
      <c r="AG80" s="44">
        <f>632+132</f>
        <v>764</v>
      </c>
      <c r="AH80" s="44">
        <f>352+129</f>
        <v>481</v>
      </c>
      <c r="AI80" s="68">
        <f>56+126</f>
        <v>182</v>
      </c>
      <c r="AJ80" s="44">
        <f>35+126</f>
        <v>161</v>
      </c>
      <c r="AK80" s="44">
        <f>41+114</f>
        <v>155</v>
      </c>
      <c r="AL80" s="65">
        <v>141</v>
      </c>
      <c r="AM80" s="65">
        <v>127</v>
      </c>
      <c r="AN80" s="69">
        <v>123</v>
      </c>
      <c r="AO80" s="70">
        <v>126</v>
      </c>
      <c r="AP80" s="70">
        <v>120</v>
      </c>
      <c r="AQ80" s="65">
        <v>110</v>
      </c>
      <c r="AR80" s="65">
        <v>105</v>
      </c>
      <c r="AS80" s="65">
        <v>106</v>
      </c>
      <c r="AT80" s="65">
        <v>110</v>
      </c>
      <c r="AU80" s="44">
        <f>13+76</f>
        <v>89</v>
      </c>
      <c r="AV80" s="65">
        <v>104</v>
      </c>
      <c r="AW80" s="44">
        <v>102</v>
      </c>
      <c r="AX80" s="65">
        <v>92</v>
      </c>
      <c r="AY80" s="65">
        <v>78</v>
      </c>
      <c r="AZ80" s="44">
        <v>82</v>
      </c>
      <c r="BA80" s="44">
        <v>82</v>
      </c>
      <c r="BB80" s="44"/>
      <c r="BC80" s="65"/>
      <c r="BD80" s="44"/>
      <c r="BE80" s="44">
        <v>80</v>
      </c>
      <c r="BF80" s="65">
        <v>84</v>
      </c>
      <c r="BG80" s="44"/>
      <c r="BH80" s="65">
        <v>84</v>
      </c>
      <c r="BI80" s="44">
        <v>67</v>
      </c>
      <c r="BJ80" s="65">
        <v>67</v>
      </c>
      <c r="BK80" s="65">
        <v>58</v>
      </c>
      <c r="BL80" s="44">
        <v>62</v>
      </c>
      <c r="BM80" s="44">
        <v>52</v>
      </c>
      <c r="BN80" s="44">
        <v>63</v>
      </c>
      <c r="BO80" s="44">
        <v>52</v>
      </c>
      <c r="BP80" s="44">
        <v>56</v>
      </c>
      <c r="BQ80" s="44">
        <v>50</v>
      </c>
      <c r="BR80" s="44">
        <v>58</v>
      </c>
      <c r="BS80" s="115">
        <v>49</v>
      </c>
      <c r="BT80" s="44">
        <v>58</v>
      </c>
      <c r="BU80" s="44">
        <v>51</v>
      </c>
      <c r="BV80" s="44">
        <v>52</v>
      </c>
      <c r="BW80" s="115">
        <v>55</v>
      </c>
      <c r="BX80" s="115">
        <v>48</v>
      </c>
      <c r="BY80" s="115">
        <v>45</v>
      </c>
      <c r="BZ80" s="44">
        <v>48</v>
      </c>
      <c r="CA80" s="44">
        <v>44</v>
      </c>
      <c r="CB80" s="44">
        <v>47</v>
      </c>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t="s">
        <v>605</v>
      </c>
      <c r="DW80" s="68" t="s">
        <v>605</v>
      </c>
      <c r="DX80" s="68" t="s">
        <v>605</v>
      </c>
      <c r="DY80" s="68">
        <v>292</v>
      </c>
      <c r="DZ80" s="68">
        <f>SUM(G80:J80)</f>
        <v>514</v>
      </c>
      <c r="EA80" s="68">
        <f>SUM(K80:N80)</f>
        <v>913</v>
      </c>
      <c r="EB80" s="68">
        <f>SUM(O80:R80)</f>
        <v>1334</v>
      </c>
      <c r="EC80" s="68">
        <f>SUM(S80:V80)</f>
        <v>1751</v>
      </c>
      <c r="ED80" s="68">
        <f>SUM(W80:Z80)</f>
        <v>2269</v>
      </c>
      <c r="EE80" s="68">
        <f>SUM(AA80:AD80)</f>
        <v>2702</v>
      </c>
      <c r="EF80" s="68">
        <f>SUM(AE80:AH80)</f>
        <v>2723</v>
      </c>
      <c r="EG80" s="44">
        <v>639</v>
      </c>
      <c r="EH80" s="44">
        <v>496</v>
      </c>
      <c r="EI80" s="44">
        <f>SUM(AQ80:AT80)</f>
        <v>431</v>
      </c>
      <c r="EJ80" s="44">
        <f>SUM(AU80:AX80)</f>
        <v>387</v>
      </c>
      <c r="EK80" s="65">
        <f>SUM(AY80:BB80)</f>
        <v>242</v>
      </c>
      <c r="EN80" s="44">
        <f t="shared" si="109"/>
        <v>235</v>
      </c>
      <c r="EO80" s="44">
        <f t="shared" si="110"/>
        <v>216</v>
      </c>
      <c r="EP80" s="44">
        <f t="shared" si="41"/>
        <v>210</v>
      </c>
      <c r="EQ80" s="44">
        <f t="shared" ref="EQ80:ET80" si="112">+EP80*0.9</f>
        <v>189</v>
      </c>
      <c r="ER80" s="44">
        <f t="shared" si="112"/>
        <v>170.1</v>
      </c>
      <c r="ES80" s="44">
        <f t="shared" si="112"/>
        <v>153.09</v>
      </c>
      <c r="ET80" s="44">
        <f t="shared" si="112"/>
        <v>137.78100000000001</v>
      </c>
      <c r="EU80" s="44">
        <f t="shared" si="15"/>
        <v>0</v>
      </c>
      <c r="EV80" s="44">
        <f t="shared" si="3"/>
        <v>0</v>
      </c>
      <c r="EW80" s="44">
        <f t="shared" si="4"/>
        <v>0</v>
      </c>
      <c r="EX80" s="44">
        <f t="shared" si="63"/>
        <v>0</v>
      </c>
      <c r="FQ80" s="44"/>
      <c r="FS80" s="82">
        <f t="shared" si="108"/>
        <v>0</v>
      </c>
    </row>
    <row r="81" spans="1:184" collapsed="1">
      <c r="B81" s="4" t="s">
        <v>722</v>
      </c>
      <c r="C81" s="37">
        <v>218</v>
      </c>
      <c r="D81" s="37">
        <v>216</v>
      </c>
      <c r="E81" s="37">
        <v>220</v>
      </c>
      <c r="F81" s="44">
        <f>DY81-E81-D81-C81</f>
        <v>227</v>
      </c>
      <c r="G81" s="37">
        <f>116+110</f>
        <v>226</v>
      </c>
      <c r="H81" s="37">
        <f>89+119</f>
        <v>208</v>
      </c>
      <c r="I81" s="37">
        <f>111+114</f>
        <v>225</v>
      </c>
      <c r="J81" s="37">
        <f>116+129</f>
        <v>245</v>
      </c>
      <c r="K81" s="37">
        <f>122+120</f>
        <v>242</v>
      </c>
      <c r="L81" s="37">
        <f>99+126</f>
        <v>225</v>
      </c>
      <c r="M81" s="37">
        <f>115+131</f>
        <v>246</v>
      </c>
      <c r="N81" s="37">
        <f>134+142</f>
        <v>276</v>
      </c>
      <c r="O81" s="37">
        <f>121+123</f>
        <v>244</v>
      </c>
      <c r="P81" s="37">
        <f>105+132</f>
        <v>237</v>
      </c>
      <c r="Q81" s="37">
        <f>132+122</f>
        <v>254</v>
      </c>
      <c r="R81" s="37">
        <f>148+131</f>
        <v>279</v>
      </c>
      <c r="S81" s="37">
        <f>147+117</f>
        <v>264</v>
      </c>
      <c r="T81" s="37">
        <f>120+128</f>
        <v>248</v>
      </c>
      <c r="U81" s="37">
        <f>144+119</f>
        <v>263</v>
      </c>
      <c r="V81" s="37">
        <f>165+127</f>
        <v>292</v>
      </c>
      <c r="W81" s="44">
        <f>154+114</f>
        <v>268</v>
      </c>
      <c r="X81" s="44">
        <f>124+121</f>
        <v>245</v>
      </c>
      <c r="Y81" s="44">
        <f>149+132</f>
        <v>281</v>
      </c>
      <c r="Z81" s="44">
        <f>183+135</f>
        <v>318</v>
      </c>
      <c r="AA81" s="44">
        <f>163+122</f>
        <v>285</v>
      </c>
      <c r="AB81" s="44">
        <f>135+127</f>
        <v>262</v>
      </c>
      <c r="AC81" s="44">
        <f>176+133</f>
        <v>309</v>
      </c>
      <c r="AD81" s="44">
        <f>188+131</f>
        <v>319</v>
      </c>
      <c r="AE81" s="44">
        <f>176+128</f>
        <v>304</v>
      </c>
      <c r="AF81" s="44">
        <f>152+133</f>
        <v>285</v>
      </c>
      <c r="AG81" s="44">
        <f>87+130</f>
        <v>217</v>
      </c>
      <c r="AH81" s="44">
        <f>1+138</f>
        <v>139</v>
      </c>
      <c r="AI81" s="68">
        <f>6+132</f>
        <v>138</v>
      </c>
      <c r="AJ81" s="44">
        <f>-2+131</f>
        <v>129</v>
      </c>
      <c r="AK81" s="44">
        <f>-20+123</f>
        <v>103</v>
      </c>
      <c r="AL81" s="65">
        <v>128</v>
      </c>
      <c r="AM81" s="65">
        <v>107</v>
      </c>
      <c r="AN81" s="69">
        <v>110</v>
      </c>
      <c r="AO81" s="70">
        <v>109</v>
      </c>
      <c r="AP81" s="70">
        <v>109</v>
      </c>
      <c r="AQ81" s="65">
        <v>111</v>
      </c>
      <c r="AR81" s="65">
        <v>104</v>
      </c>
      <c r="AS81" s="65">
        <v>96</v>
      </c>
      <c r="AT81" s="65">
        <v>104</v>
      </c>
      <c r="AU81" s="44">
        <f>3+86</f>
        <v>89</v>
      </c>
      <c r="AV81" s="65">
        <v>98</v>
      </c>
      <c r="AW81" s="44">
        <v>93</v>
      </c>
      <c r="AX81" s="65">
        <v>93</v>
      </c>
      <c r="AY81" s="65">
        <v>78</v>
      </c>
      <c r="AZ81" s="44">
        <v>74</v>
      </c>
      <c r="BA81" s="44">
        <v>93</v>
      </c>
      <c r="BB81" s="44"/>
      <c r="BC81" s="65"/>
      <c r="BD81" s="44"/>
      <c r="BE81" s="44">
        <v>74</v>
      </c>
      <c r="BF81" s="65">
        <v>73</v>
      </c>
      <c r="BG81" s="44">
        <v>65</v>
      </c>
      <c r="BH81" s="65">
        <v>64</v>
      </c>
      <c r="BI81" s="44">
        <v>72</v>
      </c>
      <c r="BJ81" s="65">
        <v>64</v>
      </c>
      <c r="BK81" s="65">
        <v>57</v>
      </c>
      <c r="BL81" s="44">
        <v>67</v>
      </c>
      <c r="BM81" s="44">
        <v>61</v>
      </c>
      <c r="BN81" s="44">
        <v>74</v>
      </c>
      <c r="BO81" s="68" t="s">
        <v>605</v>
      </c>
      <c r="BP81" s="68">
        <v>60</v>
      </c>
      <c r="BQ81" s="68">
        <v>59</v>
      </c>
      <c r="BR81" s="44">
        <v>78</v>
      </c>
      <c r="BS81" s="115">
        <v>52</v>
      </c>
      <c r="BT81" s="44">
        <v>46</v>
      </c>
      <c r="BU81" s="44"/>
      <c r="BV81" s="44">
        <v>76</v>
      </c>
      <c r="BW81" s="115"/>
      <c r="BX81" s="115"/>
      <c r="BY81" s="115"/>
      <c r="BZ81" s="44">
        <v>50</v>
      </c>
      <c r="CA81" s="44"/>
      <c r="CB81" s="44"/>
      <c r="CC81" s="44"/>
      <c r="CD81" s="44"/>
      <c r="CE81" s="44"/>
      <c r="CF81" s="44"/>
      <c r="CG81" s="44"/>
      <c r="CH81" s="44"/>
      <c r="CI81" s="44"/>
      <c r="CJ81" s="44"/>
      <c r="CK81" s="44"/>
      <c r="CL81" s="44"/>
      <c r="CM81" s="44"/>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c r="DN81" s="115"/>
      <c r="DO81" s="115"/>
      <c r="DP81" s="44"/>
      <c r="DQ81" s="44"/>
      <c r="DU81" s="68"/>
      <c r="DV81" s="68">
        <v>721</v>
      </c>
      <c r="DW81" s="44">
        <v>878</v>
      </c>
      <c r="DX81" s="44">
        <v>910</v>
      </c>
      <c r="DY81" s="44">
        <f>397+484</f>
        <v>881</v>
      </c>
      <c r="DZ81" s="68">
        <f>SUM(G81:J81)</f>
        <v>904</v>
      </c>
      <c r="EA81" s="68">
        <f>SUM(K81:N81)</f>
        <v>989</v>
      </c>
      <c r="EB81" s="68">
        <f>SUM(O81:R81)</f>
        <v>1014</v>
      </c>
      <c r="EC81" s="68">
        <f>SUM(S81:V81)</f>
        <v>1067</v>
      </c>
      <c r="ED81" s="68">
        <f>SUM(W81:Z81)</f>
        <v>1112</v>
      </c>
      <c r="EE81" s="68">
        <f>SUM(AA81:AD81)</f>
        <v>1175</v>
      </c>
      <c r="EF81" s="68">
        <f>SUM(AE81:AH81)</f>
        <v>945</v>
      </c>
      <c r="EG81" s="44">
        <v>498</v>
      </c>
      <c r="EH81" s="44">
        <v>435</v>
      </c>
      <c r="EI81" s="44">
        <f>SUM(AQ81:AT81)</f>
        <v>415</v>
      </c>
      <c r="EJ81" s="44">
        <f>SUM(AU81:AX81)</f>
        <v>373</v>
      </c>
      <c r="EK81" s="65">
        <f>SUM(AY81:BB81)</f>
        <v>245</v>
      </c>
      <c r="EN81" s="44">
        <f t="shared" si="109"/>
        <v>259</v>
      </c>
      <c r="EO81" s="44">
        <f t="shared" si="110"/>
        <v>197</v>
      </c>
      <c r="EP81" s="44">
        <f t="shared" si="41"/>
        <v>174</v>
      </c>
      <c r="EQ81" s="44">
        <f t="shared" ref="EQ81:ET81" si="113">+EP81*0.9</f>
        <v>156.6</v>
      </c>
      <c r="ER81" s="44">
        <f t="shared" si="113"/>
        <v>140.94</v>
      </c>
      <c r="ES81" s="44">
        <f t="shared" si="113"/>
        <v>126.846</v>
      </c>
      <c r="ET81" s="44">
        <f t="shared" si="113"/>
        <v>114.1614</v>
      </c>
      <c r="EU81" s="44">
        <f t="shared" si="15"/>
        <v>0</v>
      </c>
      <c r="EV81" s="44">
        <f t="shared" ref="EV81:EV113" si="114">SUM(CQ81:CT81)</f>
        <v>0</v>
      </c>
      <c r="EW81" s="44">
        <f t="shared" si="4"/>
        <v>0</v>
      </c>
      <c r="EX81" s="44">
        <f t="shared" si="63"/>
        <v>0</v>
      </c>
      <c r="FS81" s="82">
        <f t="shared" si="108"/>
        <v>0</v>
      </c>
    </row>
    <row r="82" spans="1:184" s="136" customFormat="1">
      <c r="A82" s="111"/>
      <c r="B82" s="111" t="s">
        <v>604</v>
      </c>
      <c r="C82" s="68" t="s">
        <v>605</v>
      </c>
      <c r="D82" s="68" t="s">
        <v>605</v>
      </c>
      <c r="E82" s="68" t="s">
        <v>605</v>
      </c>
      <c r="F82" s="68" t="s">
        <v>605</v>
      </c>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68" t="s">
        <v>605</v>
      </c>
      <c r="X82" s="68" t="s">
        <v>605</v>
      </c>
      <c r="Y82" s="68" t="s">
        <v>605</v>
      </c>
      <c r="Z82" s="68" t="s">
        <v>605</v>
      </c>
      <c r="AA82" s="68" t="s">
        <v>605</v>
      </c>
      <c r="AB82" s="68" t="s">
        <v>605</v>
      </c>
      <c r="AC82" s="68" t="s">
        <v>605</v>
      </c>
      <c r="AD82" s="68" t="s">
        <v>605</v>
      </c>
      <c r="AE82" s="68">
        <v>0</v>
      </c>
      <c r="AF82" s="68">
        <v>0</v>
      </c>
      <c r="AG82" s="68">
        <v>0</v>
      </c>
      <c r="AH82" s="68">
        <v>13</v>
      </c>
      <c r="AI82" s="68">
        <v>20</v>
      </c>
      <c r="AJ82" s="68">
        <v>38</v>
      </c>
      <c r="AK82" s="68">
        <f>29+51</f>
        <v>80</v>
      </c>
      <c r="AL82" s="70">
        <v>153</v>
      </c>
      <c r="AM82" s="70">
        <v>192</v>
      </c>
      <c r="AN82" s="70">
        <v>271</v>
      </c>
      <c r="AO82" s="70">
        <v>340</v>
      </c>
      <c r="AP82" s="70">
        <v>353</v>
      </c>
      <c r="AQ82" s="70">
        <v>395</v>
      </c>
      <c r="AR82" s="70">
        <v>405</v>
      </c>
      <c r="AS82" s="70">
        <f>269+196</f>
        <v>465</v>
      </c>
      <c r="AT82" s="70">
        <v>564</v>
      </c>
      <c r="AU82" s="68">
        <f>351+231</f>
        <v>582</v>
      </c>
      <c r="AV82" s="70">
        <f>336+278</f>
        <v>614</v>
      </c>
      <c r="AW82" s="68">
        <v>675</v>
      </c>
      <c r="AX82" s="70">
        <v>702</v>
      </c>
      <c r="AY82" s="70">
        <v>684</v>
      </c>
      <c r="AZ82" s="68">
        <v>629</v>
      </c>
      <c r="BA82" s="68">
        <v>708</v>
      </c>
      <c r="BB82" s="68">
        <f>410+410</f>
        <v>820</v>
      </c>
      <c r="BC82" s="70">
        <f>352+371</f>
        <v>723</v>
      </c>
      <c r="BD82" s="68">
        <v>762</v>
      </c>
      <c r="BE82" s="68">
        <v>757</v>
      </c>
      <c r="BF82" s="70">
        <v>821</v>
      </c>
      <c r="BG82" s="68">
        <v>826</v>
      </c>
      <c r="BH82" s="70">
        <v>908</v>
      </c>
      <c r="BI82" s="68">
        <v>961</v>
      </c>
      <c r="BJ82" s="70">
        <v>998</v>
      </c>
      <c r="BK82" s="70">
        <v>955</v>
      </c>
      <c r="BL82" s="68">
        <v>1035</v>
      </c>
      <c r="BM82" s="68">
        <v>1036</v>
      </c>
      <c r="BN82" s="68">
        <v>1132</v>
      </c>
      <c r="BO82" s="68">
        <v>1066</v>
      </c>
      <c r="BP82" s="68">
        <v>1134</v>
      </c>
      <c r="BQ82" s="68">
        <v>1135</v>
      </c>
      <c r="BR82" s="68">
        <v>1260</v>
      </c>
      <c r="BS82" s="122">
        <v>1150</v>
      </c>
      <c r="BT82" s="68">
        <v>1315</v>
      </c>
      <c r="BU82" s="68">
        <f>464+854</f>
        <v>1318</v>
      </c>
      <c r="BV82" s="68">
        <f>903+482</f>
        <v>1385</v>
      </c>
      <c r="BW82" s="122">
        <v>1187</v>
      </c>
      <c r="BX82" s="122">
        <v>1219</v>
      </c>
      <c r="BY82" s="122">
        <f>273+947</f>
        <v>1220</v>
      </c>
      <c r="BZ82" s="68">
        <f>955+258</f>
        <v>1213</v>
      </c>
      <c r="CA82" s="68">
        <f>1011+218</f>
        <v>1229</v>
      </c>
      <c r="CB82" s="68">
        <f>214+1048</f>
        <v>1262</v>
      </c>
      <c r="CC82" s="68">
        <f>1049+191</f>
        <v>1240</v>
      </c>
      <c r="CD82" s="68">
        <f>1057+178</f>
        <v>1235</v>
      </c>
      <c r="CE82" s="68">
        <f>1131+141</f>
        <v>1272</v>
      </c>
      <c r="CF82" s="68">
        <f>1101+154</f>
        <v>1255</v>
      </c>
      <c r="CG82" s="68">
        <f>1150+134</f>
        <v>1284</v>
      </c>
      <c r="CH82" s="68">
        <f>1130+125</f>
        <v>1255</v>
      </c>
      <c r="CI82" s="68">
        <f>1131+82</f>
        <v>1213</v>
      </c>
      <c r="CJ82" s="68">
        <f>1134+88</f>
        <v>1222</v>
      </c>
      <c r="CK82" s="68">
        <v>1213</v>
      </c>
      <c r="CL82" s="68">
        <v>1320</v>
      </c>
      <c r="CM82" s="68">
        <v>1186</v>
      </c>
      <c r="CN82" s="122">
        <v>1175</v>
      </c>
      <c r="CO82" s="122">
        <v>527</v>
      </c>
      <c r="CP82" s="122">
        <v>433</v>
      </c>
      <c r="CQ82" s="122">
        <v>357</v>
      </c>
      <c r="CR82" s="122">
        <v>349</v>
      </c>
      <c r="CS82" s="122"/>
      <c r="CT82" s="122"/>
      <c r="CU82" s="122"/>
      <c r="CV82" s="122"/>
      <c r="CW82" s="122"/>
      <c r="CX82" s="122"/>
      <c r="CY82" s="122"/>
      <c r="CZ82" s="122"/>
      <c r="DA82" s="122"/>
      <c r="DB82" s="122"/>
      <c r="DC82" s="122"/>
      <c r="DD82" s="122"/>
      <c r="DE82" s="122"/>
      <c r="DF82" s="122"/>
      <c r="DG82" s="122"/>
      <c r="DH82" s="122"/>
      <c r="DI82" s="122"/>
      <c r="DJ82" s="122"/>
      <c r="DK82" s="122"/>
      <c r="DL82" s="122"/>
      <c r="DM82" s="122"/>
      <c r="DN82" s="122"/>
      <c r="DO82" s="122"/>
      <c r="DP82" s="68"/>
      <c r="DQ82" s="68"/>
      <c r="DR82" s="111"/>
      <c r="DS82" s="111"/>
      <c r="DT82" s="111"/>
      <c r="DU82" s="68"/>
      <c r="DV82" s="68" t="s">
        <v>605</v>
      </c>
      <c r="DW82" s="68" t="s">
        <v>605</v>
      </c>
      <c r="DX82" s="68" t="s">
        <v>605</v>
      </c>
      <c r="DY82" s="68" t="s">
        <v>605</v>
      </c>
      <c r="DZ82" s="68" t="s">
        <v>605</v>
      </c>
      <c r="EA82" s="68" t="s">
        <v>605</v>
      </c>
      <c r="EB82" s="68" t="s">
        <v>605</v>
      </c>
      <c r="EC82" s="68" t="s">
        <v>605</v>
      </c>
      <c r="ED82" s="68" t="s">
        <v>605</v>
      </c>
      <c r="EE82" s="68" t="s">
        <v>605</v>
      </c>
      <c r="EF82" s="68">
        <v>13</v>
      </c>
      <c r="EG82" s="68">
        <v>291</v>
      </c>
      <c r="EH82" s="68">
        <f>SUM(AM82:AP82)</f>
        <v>1156</v>
      </c>
      <c r="EI82" s="68">
        <f>SUM(AQ82:AT82)</f>
        <v>1829</v>
      </c>
      <c r="EJ82" s="68">
        <f>SUM(AU82:AX82)</f>
        <v>2573</v>
      </c>
      <c r="EK82" s="70">
        <f>SUM(AY82:BB82)</f>
        <v>2841</v>
      </c>
      <c r="EL82" s="68">
        <f>SUM(BC82:BF82)</f>
        <v>3063</v>
      </c>
      <c r="EM82" s="68">
        <f>SUM(BG82:BJ82)</f>
        <v>3693</v>
      </c>
      <c r="EN82" s="44">
        <f>SUM(BK82:BN82)</f>
        <v>4158</v>
      </c>
      <c r="EO82" s="44">
        <f>SUM(BO82:BR82)</f>
        <v>4595</v>
      </c>
      <c r="EP82" s="44">
        <f>SUM(BS82:BV82)</f>
        <v>5168</v>
      </c>
      <c r="EQ82" s="68">
        <f>EP82*1.05</f>
        <v>5426.4000000000005</v>
      </c>
      <c r="ER82" s="68">
        <f>EQ82*1.05</f>
        <v>5697.7200000000012</v>
      </c>
      <c r="ES82" s="68">
        <f>ER82*1.02</f>
        <v>5811.6744000000017</v>
      </c>
      <c r="ET82" s="68">
        <f>ES82*0.5</f>
        <v>2905.8372000000008</v>
      </c>
      <c r="EU82" s="44">
        <f t="shared" si="15"/>
        <v>3321</v>
      </c>
      <c r="EV82" s="44">
        <f t="shared" si="114"/>
        <v>706</v>
      </c>
      <c r="EW82" s="44">
        <f t="shared" ref="EW82:EW114" si="115">SUM(CU82:CX82)</f>
        <v>0</v>
      </c>
      <c r="EX82" s="44">
        <f t="shared" ref="EX82:EX114" si="116">SUM(CY82:DB82)</f>
        <v>0</v>
      </c>
      <c r="EY82" s="44"/>
      <c r="EZ82" s="44"/>
      <c r="FA82" s="44"/>
      <c r="FB82" s="68"/>
      <c r="FC82" s="68"/>
      <c r="FD82" s="68"/>
      <c r="FE82" s="68"/>
      <c r="FF82" s="68"/>
      <c r="FG82" s="68"/>
      <c r="FH82" s="68"/>
      <c r="FI82" s="68"/>
      <c r="FJ82" s="68"/>
      <c r="FK82" s="68"/>
      <c r="FL82" s="68"/>
      <c r="FM82" s="68"/>
      <c r="FN82" s="68"/>
      <c r="FO82" s="68"/>
      <c r="FP82" s="68"/>
      <c r="FQ82" s="83">
        <f>EL82*0.6</f>
        <v>1837.8</v>
      </c>
      <c r="FR82" s="68">
        <f>EQ82*0.7</f>
        <v>3798.48</v>
      </c>
      <c r="FS82" s="84">
        <f>EV82*0.2</f>
        <v>141.20000000000002</v>
      </c>
      <c r="FT82" s="68"/>
      <c r="FU82" s="111" t="s">
        <v>606</v>
      </c>
      <c r="FV82" s="111"/>
      <c r="FW82" s="111"/>
      <c r="FX82" s="111"/>
      <c r="FY82" s="111"/>
      <c r="FZ82" s="111"/>
      <c r="GA82" s="111"/>
      <c r="GB82" s="111"/>
    </row>
    <row r="83" spans="1:184" collapsed="1">
      <c r="B83" s="4" t="s">
        <v>723</v>
      </c>
      <c r="C83" s="68"/>
      <c r="D83" s="68"/>
      <c r="E83" s="68"/>
      <c r="F83" s="68"/>
      <c r="G83" s="68" t="s">
        <v>605</v>
      </c>
      <c r="H83" s="68" t="s">
        <v>605</v>
      </c>
      <c r="I83" s="68" t="s">
        <v>605</v>
      </c>
      <c r="J83" s="68" t="s">
        <v>605</v>
      </c>
      <c r="K83" s="68" t="s">
        <v>605</v>
      </c>
      <c r="L83" s="68" t="s">
        <v>605</v>
      </c>
      <c r="M83" s="68" t="s">
        <v>605</v>
      </c>
      <c r="N83" s="68" t="s">
        <v>605</v>
      </c>
      <c r="O83" s="68" t="s">
        <v>605</v>
      </c>
      <c r="P83" s="68" t="s">
        <v>605</v>
      </c>
      <c r="Q83" s="68" t="s">
        <v>605</v>
      </c>
      <c r="R83" s="68" t="s">
        <v>605</v>
      </c>
      <c r="S83" s="68" t="s">
        <v>605</v>
      </c>
      <c r="T83" s="68" t="s">
        <v>605</v>
      </c>
      <c r="U83" s="68" t="s">
        <v>605</v>
      </c>
      <c r="V83" s="68" t="s">
        <v>605</v>
      </c>
      <c r="W83" s="44">
        <v>86</v>
      </c>
      <c r="X83" s="44">
        <v>87</v>
      </c>
      <c r="Y83" s="44">
        <v>60</v>
      </c>
      <c r="Z83" s="44">
        <v>81</v>
      </c>
      <c r="AA83" s="44">
        <v>82</v>
      </c>
      <c r="AB83" s="44">
        <f>41+23</f>
        <v>64</v>
      </c>
      <c r="AC83" s="44">
        <f>18+59</f>
        <v>77</v>
      </c>
      <c r="AD83" s="44">
        <f>35+61</f>
        <v>96</v>
      </c>
      <c r="AE83" s="44">
        <f>25+61</f>
        <v>86</v>
      </c>
      <c r="AF83" s="44">
        <f>23+63</f>
        <v>86</v>
      </c>
      <c r="AG83" s="44">
        <f>38+62</f>
        <v>100</v>
      </c>
      <c r="AH83" s="44">
        <f>37+69</f>
        <v>106</v>
      </c>
      <c r="AI83" s="68">
        <f>34+68</f>
        <v>102</v>
      </c>
      <c r="AJ83" s="44">
        <f>35+69</f>
        <v>104</v>
      </c>
      <c r="AK83" s="37">
        <f>36+65</f>
        <v>101</v>
      </c>
      <c r="AL83" s="65">
        <v>102</v>
      </c>
      <c r="AM83" s="65">
        <v>82</v>
      </c>
      <c r="AN83" s="69">
        <v>79</v>
      </c>
      <c r="AO83" s="69">
        <v>74</v>
      </c>
      <c r="AP83" s="103">
        <v>81</v>
      </c>
      <c r="AQ83" s="65">
        <v>75</v>
      </c>
      <c r="AR83" s="65">
        <v>79</v>
      </c>
      <c r="AS83" s="65">
        <v>85</v>
      </c>
      <c r="AT83" s="65">
        <v>86</v>
      </c>
      <c r="AU83" s="44">
        <f>17+69</f>
        <v>86</v>
      </c>
      <c r="AV83" s="65">
        <v>90</v>
      </c>
      <c r="AW83" s="44">
        <v>91</v>
      </c>
      <c r="AX83" s="65">
        <v>83</v>
      </c>
      <c r="AY83" s="65">
        <v>75</v>
      </c>
      <c r="AZ83" s="44">
        <v>74</v>
      </c>
      <c r="BA83" s="44">
        <v>81</v>
      </c>
      <c r="BB83" s="44"/>
      <c r="BC83" s="65"/>
      <c r="BD83" s="44"/>
      <c r="BE83" s="44">
        <v>72</v>
      </c>
      <c r="BF83" s="65">
        <v>83</v>
      </c>
      <c r="BG83" s="44"/>
      <c r="BH83" s="65">
        <v>79</v>
      </c>
      <c r="BI83" s="44">
        <v>77</v>
      </c>
      <c r="BJ83" s="65">
        <v>74</v>
      </c>
      <c r="BK83" s="65">
        <v>68</v>
      </c>
      <c r="BL83" s="44">
        <v>69</v>
      </c>
      <c r="BM83" s="44">
        <v>66</v>
      </c>
      <c r="BN83" s="44">
        <v>71</v>
      </c>
      <c r="BO83" s="44">
        <v>70</v>
      </c>
      <c r="BP83" s="44">
        <v>65</v>
      </c>
      <c r="BQ83" s="44">
        <v>69</v>
      </c>
      <c r="BR83" s="44">
        <v>72</v>
      </c>
      <c r="BS83" s="115">
        <v>59</v>
      </c>
      <c r="BT83" s="44">
        <v>68</v>
      </c>
      <c r="BU83" s="44">
        <v>63</v>
      </c>
      <c r="BV83" s="44">
        <v>63</v>
      </c>
      <c r="BW83" s="115">
        <v>54</v>
      </c>
      <c r="BX83" s="115">
        <v>54</v>
      </c>
      <c r="BY83" s="115">
        <v>55</v>
      </c>
      <c r="BZ83" s="44">
        <v>60</v>
      </c>
      <c r="CA83" s="44">
        <v>52</v>
      </c>
      <c r="CB83" s="44">
        <v>55</v>
      </c>
      <c r="CC83" s="44">
        <v>55</v>
      </c>
      <c r="CD83" s="44">
        <v>59</v>
      </c>
      <c r="CE83" s="44">
        <v>55</v>
      </c>
      <c r="CF83" s="44">
        <v>52</v>
      </c>
      <c r="CG83" s="44">
        <v>58</v>
      </c>
      <c r="CH83" s="44">
        <v>60</v>
      </c>
      <c r="CI83" s="44">
        <v>54</v>
      </c>
      <c r="CJ83" s="44">
        <v>56</v>
      </c>
      <c r="CK83" s="44">
        <v>52</v>
      </c>
      <c r="CL83" s="44"/>
      <c r="CM83" s="44"/>
      <c r="CN83" s="115"/>
      <c r="CO83" s="115">
        <v>50</v>
      </c>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t="s">
        <v>605</v>
      </c>
      <c r="DW83" s="68" t="s">
        <v>605</v>
      </c>
      <c r="DX83" s="68" t="s">
        <v>605</v>
      </c>
      <c r="DY83" s="68" t="s">
        <v>605</v>
      </c>
      <c r="DZ83" s="68" t="s">
        <v>605</v>
      </c>
      <c r="EA83" s="68" t="s">
        <v>605</v>
      </c>
      <c r="EB83" s="68" t="s">
        <v>605</v>
      </c>
      <c r="EC83" s="68" t="s">
        <v>605</v>
      </c>
      <c r="ED83" s="44">
        <v>314</v>
      </c>
      <c r="EE83" s="44">
        <v>237</v>
      </c>
      <c r="EF83" s="44">
        <v>378</v>
      </c>
      <c r="EG83" s="44">
        <v>409</v>
      </c>
      <c r="EH83" s="44">
        <v>316</v>
      </c>
      <c r="EI83" s="44">
        <f>SUM(AQ83:AT83)</f>
        <v>325</v>
      </c>
      <c r="EJ83" s="44">
        <f>SUM(AU83:AX83)</f>
        <v>350</v>
      </c>
      <c r="EK83" s="65">
        <f>SUM(AY83:BB83)</f>
        <v>230</v>
      </c>
      <c r="EN83" s="44">
        <f t="shared" si="109"/>
        <v>274</v>
      </c>
      <c r="EO83" s="44">
        <f t="shared" si="110"/>
        <v>276</v>
      </c>
      <c r="EP83" s="44">
        <f t="shared" si="41"/>
        <v>253</v>
      </c>
      <c r="EQ83" s="44">
        <f t="shared" ref="EQ83:ET83" si="117">+EP83*0.9</f>
        <v>227.70000000000002</v>
      </c>
      <c r="ER83" s="44">
        <f t="shared" si="117"/>
        <v>204.93</v>
      </c>
      <c r="ES83" s="44">
        <f t="shared" si="117"/>
        <v>184.43700000000001</v>
      </c>
      <c r="ET83" s="44">
        <f t="shared" si="117"/>
        <v>165.9933</v>
      </c>
      <c r="EU83" s="44">
        <f t="shared" si="15"/>
        <v>50</v>
      </c>
      <c r="EV83" s="44">
        <f t="shared" si="114"/>
        <v>0</v>
      </c>
      <c r="EW83" s="44">
        <f t="shared" si="115"/>
        <v>0</v>
      </c>
      <c r="EX83" s="44">
        <f t="shared" si="116"/>
        <v>0</v>
      </c>
      <c r="FS83" s="82">
        <f t="shared" si="108"/>
        <v>0</v>
      </c>
      <c r="FU83" s="19"/>
    </row>
    <row r="84" spans="1:184">
      <c r="B84" s="14" t="s">
        <v>724</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61</v>
      </c>
      <c r="BF84" s="65">
        <v>62</v>
      </c>
      <c r="BG84" s="44"/>
      <c r="BH84" s="65">
        <v>61</v>
      </c>
      <c r="BI84" s="44">
        <v>58</v>
      </c>
      <c r="BJ84" s="65">
        <v>59</v>
      </c>
      <c r="BK84" s="65">
        <v>54</v>
      </c>
      <c r="BL84" s="44">
        <v>57</v>
      </c>
      <c r="BM84" s="44">
        <v>54</v>
      </c>
      <c r="BN84" s="44">
        <v>63</v>
      </c>
      <c r="BO84" s="44">
        <v>56</v>
      </c>
      <c r="BP84" s="44">
        <v>53</v>
      </c>
      <c r="BQ84" s="68" t="s">
        <v>605</v>
      </c>
      <c r="BR84" s="44">
        <v>54</v>
      </c>
      <c r="BS84" s="115">
        <v>46</v>
      </c>
      <c r="BT84" s="44">
        <v>54</v>
      </c>
      <c r="BU84" s="44">
        <v>52</v>
      </c>
      <c r="BV84" s="44">
        <v>29</v>
      </c>
      <c r="BW84" s="115">
        <v>55</v>
      </c>
      <c r="BX84" s="115">
        <v>50</v>
      </c>
      <c r="BY84" s="115">
        <v>50</v>
      </c>
      <c r="BZ84" s="44">
        <v>42</v>
      </c>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v>290</v>
      </c>
      <c r="DW84" s="44">
        <v>333</v>
      </c>
      <c r="DX84" s="44">
        <v>326</v>
      </c>
      <c r="DY84" s="44"/>
      <c r="DZ84" s="68"/>
      <c r="EA84" s="68"/>
      <c r="EB84" s="68"/>
      <c r="EC84" s="68"/>
      <c r="ED84" s="68"/>
      <c r="EE84" s="68"/>
      <c r="EF84" s="68"/>
      <c r="EG84" s="44"/>
      <c r="EH84" s="44"/>
      <c r="EI84" s="44"/>
      <c r="EJ84" s="44"/>
      <c r="EK84" s="65"/>
      <c r="EN84" s="44">
        <f t="shared" si="109"/>
        <v>228</v>
      </c>
      <c r="EO84" s="44">
        <f t="shared" si="110"/>
        <v>163</v>
      </c>
      <c r="EP84" s="44">
        <f t="shared" si="41"/>
        <v>181</v>
      </c>
      <c r="EQ84" s="44">
        <f t="shared" ref="EQ84:ET84" si="118">+EP84*0.9</f>
        <v>162.9</v>
      </c>
      <c r="ER84" s="44">
        <f t="shared" si="118"/>
        <v>146.61000000000001</v>
      </c>
      <c r="ES84" s="44">
        <f t="shared" si="118"/>
        <v>131.94900000000001</v>
      </c>
      <c r="ET84" s="44">
        <f t="shared" si="118"/>
        <v>118.75410000000001</v>
      </c>
      <c r="EU84" s="44">
        <f t="shared" si="15"/>
        <v>0</v>
      </c>
      <c r="EV84" s="44">
        <f t="shared" si="114"/>
        <v>0</v>
      </c>
      <c r="EW84" s="44">
        <f t="shared" si="115"/>
        <v>0</v>
      </c>
      <c r="EX84" s="44">
        <f t="shared" si="116"/>
        <v>0</v>
      </c>
      <c r="FQ84" s="44"/>
      <c r="FS84" s="82">
        <f t="shared" si="108"/>
        <v>0</v>
      </c>
    </row>
    <row r="85" spans="1:184">
      <c r="B85" s="14" t="s">
        <v>727</v>
      </c>
      <c r="W85" s="44"/>
      <c r="X85" s="44"/>
      <c r="Y85" s="44"/>
      <c r="Z85" s="44"/>
      <c r="AA85" s="44"/>
      <c r="AB85" s="44"/>
      <c r="AC85" s="44"/>
      <c r="AD85" s="44"/>
      <c r="AE85" s="44"/>
      <c r="AF85" s="44"/>
      <c r="AG85" s="44"/>
      <c r="AH85" s="44"/>
      <c r="AI85" s="68"/>
      <c r="AJ85" s="44"/>
      <c r="AK85" s="44"/>
      <c r="AL85" s="65"/>
      <c r="AM85" s="65"/>
      <c r="AN85" s="65"/>
      <c r="AO85" s="65"/>
      <c r="AP85" s="70"/>
      <c r="AQ85" s="65"/>
      <c r="AR85" s="65"/>
      <c r="AS85" s="65"/>
      <c r="AT85" s="65"/>
      <c r="AU85" s="44"/>
      <c r="AV85" s="65"/>
      <c r="AW85" s="44"/>
      <c r="AX85" s="65"/>
      <c r="AY85" s="65"/>
      <c r="AZ85" s="44"/>
      <c r="BA85" s="44"/>
      <c r="BB85" s="44"/>
      <c r="BC85" s="65"/>
      <c r="BD85" s="44"/>
      <c r="BE85" s="44">
        <v>0</v>
      </c>
      <c r="BF85" s="65">
        <v>0</v>
      </c>
      <c r="BG85" s="44"/>
      <c r="BH85" s="65">
        <v>79</v>
      </c>
      <c r="BI85" s="44">
        <v>58</v>
      </c>
      <c r="BJ85" s="65">
        <v>58</v>
      </c>
      <c r="BK85" s="70" t="s">
        <v>605</v>
      </c>
      <c r="BL85" s="68">
        <v>61</v>
      </c>
      <c r="BM85" s="68">
        <v>55</v>
      </c>
      <c r="BN85" s="68">
        <v>74</v>
      </c>
      <c r="BO85" s="68" t="s">
        <v>605</v>
      </c>
      <c r="BP85" s="68">
        <v>66</v>
      </c>
      <c r="BQ85" s="68" t="s">
        <v>605</v>
      </c>
      <c r="BR85" s="68" t="s">
        <v>605</v>
      </c>
      <c r="BS85" s="115" t="s">
        <v>605</v>
      </c>
      <c r="BT85" s="44" t="s">
        <v>605</v>
      </c>
      <c r="BU85" s="44" t="str">
        <f t="shared" ref="BU85:BU88" si="119">+BQ85</f>
        <v>-</v>
      </c>
      <c r="BV85" s="44" t="str">
        <f t="shared" ref="BV85:BV88" si="120">+BR85</f>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c r="DW85" s="44"/>
      <c r="DX85" s="44"/>
      <c r="DY85" s="44"/>
      <c r="DZ85" s="68"/>
      <c r="EA85" s="68"/>
      <c r="EB85" s="68"/>
      <c r="EC85" s="68"/>
      <c r="ED85" s="68"/>
      <c r="EE85" s="68"/>
      <c r="EF85" s="68"/>
      <c r="EG85" s="44"/>
      <c r="EH85" s="44"/>
      <c r="EI85" s="44"/>
      <c r="EJ85" s="44"/>
      <c r="EK85" s="65"/>
      <c r="EP85" s="44">
        <f t="shared" si="41"/>
        <v>0</v>
      </c>
      <c r="EU85" s="44">
        <f t="shared" si="15"/>
        <v>0</v>
      </c>
      <c r="EV85" s="44">
        <f t="shared" si="114"/>
        <v>0</v>
      </c>
      <c r="EW85" s="44">
        <f t="shared" si="115"/>
        <v>0</v>
      </c>
      <c r="EX85" s="44">
        <f t="shared" si="116"/>
        <v>0</v>
      </c>
      <c r="FQ85" s="44"/>
      <c r="FS85" s="44"/>
    </row>
    <row r="86" spans="1:184">
      <c r="B86" s="14" t="s">
        <v>728</v>
      </c>
      <c r="C86" s="68"/>
      <c r="D86" s="68"/>
      <c r="E86" s="68"/>
      <c r="F86" s="68"/>
      <c r="G86" s="68" t="s">
        <v>605</v>
      </c>
      <c r="H86" s="68" t="s">
        <v>605</v>
      </c>
      <c r="I86" s="68" t="s">
        <v>605</v>
      </c>
      <c r="J86" s="68" t="s">
        <v>605</v>
      </c>
      <c r="K86" s="68" t="s">
        <v>605</v>
      </c>
      <c r="L86" s="68" t="s">
        <v>605</v>
      </c>
      <c r="M86" s="68" t="s">
        <v>605</v>
      </c>
      <c r="N86" s="68" t="s">
        <v>605</v>
      </c>
      <c r="O86" s="68" t="s">
        <v>605</v>
      </c>
      <c r="P86" s="68" t="s">
        <v>605</v>
      </c>
      <c r="Q86" s="68" t="s">
        <v>605</v>
      </c>
      <c r="R86" s="68" t="s">
        <v>605</v>
      </c>
      <c r="S86" s="68" t="s">
        <v>605</v>
      </c>
      <c r="T86" s="68" t="s">
        <v>605</v>
      </c>
      <c r="U86" s="68" t="s">
        <v>605</v>
      </c>
      <c r="V86" s="68" t="s">
        <v>605</v>
      </c>
      <c r="W86" s="68" t="s">
        <v>605</v>
      </c>
      <c r="X86" s="68" t="s">
        <v>605</v>
      </c>
      <c r="Y86" s="68" t="s">
        <v>605</v>
      </c>
      <c r="Z86" s="68" t="s">
        <v>605</v>
      </c>
      <c r="AA86" s="68" t="s">
        <v>605</v>
      </c>
      <c r="AB86" s="68" t="s">
        <v>605</v>
      </c>
      <c r="AC86" s="68" t="s">
        <v>605</v>
      </c>
      <c r="AD86" s="68" t="s">
        <v>605</v>
      </c>
      <c r="AE86" s="68" t="s">
        <v>605</v>
      </c>
      <c r="AF86" s="68" t="s">
        <v>605</v>
      </c>
      <c r="AG86" s="68" t="s">
        <v>605</v>
      </c>
      <c r="AH86" s="68" t="s">
        <v>605</v>
      </c>
      <c r="AI86" s="68" t="s">
        <v>605</v>
      </c>
      <c r="AJ86" s="68" t="s">
        <v>605</v>
      </c>
      <c r="AK86" s="68" t="s">
        <v>605</v>
      </c>
      <c r="AL86" s="70" t="s">
        <v>605</v>
      </c>
      <c r="AM86" s="70" t="s">
        <v>605</v>
      </c>
      <c r="AN86" s="65"/>
      <c r="AO86" s="70" t="s">
        <v>605</v>
      </c>
      <c r="AP86" s="103" t="s">
        <v>605</v>
      </c>
      <c r="AQ86" s="75" t="s">
        <v>729</v>
      </c>
      <c r="AR86" s="75" t="s">
        <v>730</v>
      </c>
      <c r="AS86" s="75" t="s">
        <v>731</v>
      </c>
      <c r="AT86" s="75" t="s">
        <v>732</v>
      </c>
      <c r="AU86" s="73" t="s">
        <v>733</v>
      </c>
      <c r="AV86" s="75" t="s">
        <v>734</v>
      </c>
      <c r="AW86" s="73" t="s">
        <v>735</v>
      </c>
      <c r="AX86" s="75" t="s">
        <v>736</v>
      </c>
      <c r="AY86" s="75" t="s">
        <v>737</v>
      </c>
      <c r="AZ86" s="73" t="s">
        <v>738</v>
      </c>
      <c r="BA86" s="73" t="s">
        <v>739</v>
      </c>
      <c r="BB86" s="73" t="s">
        <v>740</v>
      </c>
      <c r="BC86" s="70" t="s">
        <v>605</v>
      </c>
      <c r="BD86" s="68" t="s">
        <v>605</v>
      </c>
      <c r="BE86" s="68">
        <v>203</v>
      </c>
      <c r="BF86" s="70">
        <v>155</v>
      </c>
      <c r="BG86" s="68">
        <v>59</v>
      </c>
      <c r="BH86" s="70">
        <v>44</v>
      </c>
      <c r="BI86" s="68">
        <v>65</v>
      </c>
      <c r="BJ86" s="70">
        <v>0</v>
      </c>
      <c r="BK86" s="70" t="s">
        <v>605</v>
      </c>
      <c r="BL86" s="68" t="s">
        <v>605</v>
      </c>
      <c r="BM86" s="68">
        <v>50</v>
      </c>
      <c r="BN86" s="68" t="s">
        <v>605</v>
      </c>
      <c r="BO86" s="68" t="s">
        <v>605</v>
      </c>
      <c r="BP86" s="68" t="s">
        <v>605</v>
      </c>
      <c r="BQ86" s="68" t="s">
        <v>605</v>
      </c>
      <c r="BR86" s="68" t="s">
        <v>605</v>
      </c>
      <c r="BS86" s="115" t="s">
        <v>605</v>
      </c>
      <c r="BT86" s="44">
        <v>50</v>
      </c>
      <c r="BU86" s="44" t="str">
        <f t="shared" si="119"/>
        <v>-</v>
      </c>
      <c r="BV86" s="44" t="str">
        <f t="shared" si="120"/>
        <v>-</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t="s">
        <v>605</v>
      </c>
      <c r="DW86" s="68" t="s">
        <v>605</v>
      </c>
      <c r="DX86" s="68" t="s">
        <v>605</v>
      </c>
      <c r="DY86" s="68" t="s">
        <v>605</v>
      </c>
      <c r="DZ86" s="68" t="s">
        <v>605</v>
      </c>
      <c r="EA86" s="68" t="s">
        <v>605</v>
      </c>
      <c r="EB86" s="68" t="s">
        <v>605</v>
      </c>
      <c r="EC86" s="68" t="s">
        <v>605</v>
      </c>
      <c r="ED86" s="68" t="s">
        <v>605</v>
      </c>
      <c r="EE86" s="68" t="s">
        <v>605</v>
      </c>
      <c r="EF86" s="68" t="s">
        <v>605</v>
      </c>
      <c r="EG86" s="68" t="s">
        <v>605</v>
      </c>
      <c r="EH86" s="73" t="s">
        <v>741</v>
      </c>
      <c r="EI86" s="73" t="s">
        <v>742</v>
      </c>
      <c r="EJ86" s="73" t="s">
        <v>743</v>
      </c>
      <c r="EK86" s="75">
        <f>SUM(AY86:BB86)</f>
        <v>0</v>
      </c>
      <c r="EL86" s="68">
        <f>SUM(BC86:BF86)</f>
        <v>358</v>
      </c>
      <c r="EM86" s="44">
        <f>SUM(BG86:BJ86)</f>
        <v>168</v>
      </c>
      <c r="EN86" s="68">
        <f>+EM86*0.9</f>
        <v>151.20000000000002</v>
      </c>
      <c r="EO86" s="68" t="s">
        <v>605</v>
      </c>
      <c r="EP86" s="44">
        <f t="shared" si="41"/>
        <v>50</v>
      </c>
      <c r="EQ86" s="68" t="s">
        <v>605</v>
      </c>
      <c r="ER86" s="68" t="s">
        <v>605</v>
      </c>
      <c r="ES86" s="68" t="s">
        <v>605</v>
      </c>
      <c r="ET86" s="68" t="s">
        <v>605</v>
      </c>
      <c r="EU86" s="44">
        <f t="shared" si="15"/>
        <v>0</v>
      </c>
      <c r="EV86" s="44">
        <f t="shared" si="114"/>
        <v>0</v>
      </c>
      <c r="EW86" s="44">
        <f t="shared" si="115"/>
        <v>0</v>
      </c>
      <c r="EX86" s="44">
        <f t="shared" si="116"/>
        <v>0</v>
      </c>
      <c r="FB86" s="68"/>
      <c r="FC86" s="68"/>
      <c r="FD86" s="68"/>
      <c r="FE86" s="68"/>
      <c r="FF86" s="68"/>
      <c r="FG86" s="68"/>
      <c r="FH86" s="68"/>
      <c r="FI86" s="68"/>
      <c r="FJ86" s="68"/>
      <c r="FK86" s="68"/>
      <c r="FL86" s="68"/>
      <c r="FM86" s="68"/>
      <c r="FN86" s="68"/>
      <c r="FO86" s="68"/>
      <c r="FP86" s="68"/>
      <c r="FQ86" s="83">
        <v>0</v>
      </c>
      <c r="FR86" s="68">
        <v>0</v>
      </c>
      <c r="FS86" s="84">
        <v>0</v>
      </c>
      <c r="FT86" s="68"/>
      <c r="FU86" s="14" t="s">
        <v>744</v>
      </c>
    </row>
    <row r="87" spans="1:184">
      <c r="B87" s="14" t="s">
        <v>745</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37</v>
      </c>
      <c r="BF87" s="65">
        <v>44</v>
      </c>
      <c r="BG87" s="44"/>
      <c r="BH87" s="65">
        <v>49</v>
      </c>
      <c r="BI87" s="44">
        <v>51</v>
      </c>
      <c r="BJ87" s="65">
        <v>53</v>
      </c>
      <c r="BK87" s="70" t="s">
        <v>605</v>
      </c>
      <c r="BL87" s="68">
        <v>58</v>
      </c>
      <c r="BM87" s="68">
        <v>51</v>
      </c>
      <c r="BN87" s="68">
        <v>58</v>
      </c>
      <c r="BO87" s="68">
        <v>52</v>
      </c>
      <c r="BP87" s="68">
        <v>59</v>
      </c>
      <c r="BQ87" s="68">
        <v>53</v>
      </c>
      <c r="BR87" s="68">
        <v>69</v>
      </c>
      <c r="BS87" s="115">
        <v>61</v>
      </c>
      <c r="BT87" s="44">
        <v>62</v>
      </c>
      <c r="BU87" s="44">
        <f t="shared" si="119"/>
        <v>53</v>
      </c>
      <c r="BV87" s="44">
        <f t="shared" si="120"/>
        <v>69</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ref="EP87:EP98" si="121">SUM(BS87:BV87)</f>
        <v>245</v>
      </c>
      <c r="EU87" s="44">
        <f t="shared" ref="EU87:EU114" si="122">SUM(CM87:CP87)</f>
        <v>0</v>
      </c>
      <c r="EV87" s="44">
        <f t="shared" si="114"/>
        <v>0</v>
      </c>
      <c r="EW87" s="44">
        <f t="shared" si="115"/>
        <v>0</v>
      </c>
      <c r="EX87" s="44">
        <f t="shared" si="116"/>
        <v>0</v>
      </c>
      <c r="FQ87" s="44"/>
      <c r="FS87" s="44"/>
    </row>
    <row r="88" spans="1:184">
      <c r="B88" s="14" t="s">
        <v>746</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v>54</v>
      </c>
      <c r="BF88" s="65">
        <v>46</v>
      </c>
      <c r="BG88" s="44"/>
      <c r="BH88" s="65">
        <v>52</v>
      </c>
      <c r="BI88" s="44">
        <v>51</v>
      </c>
      <c r="BJ88" s="65">
        <v>53</v>
      </c>
      <c r="BK88" s="70" t="s">
        <v>605</v>
      </c>
      <c r="BL88" s="68">
        <v>53</v>
      </c>
      <c r="BM88" s="68">
        <v>74</v>
      </c>
      <c r="BN88" s="68">
        <v>56</v>
      </c>
      <c r="BO88" s="68">
        <v>50</v>
      </c>
      <c r="BP88" s="68" t="s">
        <v>605</v>
      </c>
      <c r="BQ88" s="68">
        <v>50</v>
      </c>
      <c r="BR88" s="68" t="s">
        <v>605</v>
      </c>
      <c r="BS88" s="115" t="s">
        <v>605</v>
      </c>
      <c r="BT88" s="44" t="s">
        <v>605</v>
      </c>
      <c r="BU88" s="44">
        <f t="shared" si="119"/>
        <v>50</v>
      </c>
      <c r="BV88" s="44" t="str">
        <f t="shared" si="120"/>
        <v>-</v>
      </c>
      <c r="BW88" s="115"/>
      <c r="BX88" s="115"/>
      <c r="BY88" s="115"/>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1"/>
        <v>50</v>
      </c>
      <c r="EU88" s="44">
        <f t="shared" si="122"/>
        <v>0</v>
      </c>
      <c r="EV88" s="44">
        <f t="shared" si="114"/>
        <v>0</v>
      </c>
      <c r="EW88" s="44">
        <f t="shared" si="115"/>
        <v>0</v>
      </c>
      <c r="EX88" s="44">
        <f t="shared" si="116"/>
        <v>0</v>
      </c>
      <c r="FQ88" s="44"/>
      <c r="FS88" s="44"/>
    </row>
    <row r="89" spans="1:184">
      <c r="B89" s="14" t="s">
        <v>747</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t="s">
        <v>605</v>
      </c>
      <c r="BO89" s="68" t="s">
        <v>605</v>
      </c>
      <c r="BP89" s="68">
        <v>54</v>
      </c>
      <c r="BQ89" s="68" t="s">
        <v>605</v>
      </c>
      <c r="BR89" s="68">
        <v>52</v>
      </c>
      <c r="BS89" s="115">
        <v>53</v>
      </c>
      <c r="BT89" s="44">
        <v>40</v>
      </c>
      <c r="BU89" s="44">
        <v>54</v>
      </c>
      <c r="BV89" s="44">
        <v>54</v>
      </c>
      <c r="BW89" s="115">
        <v>51</v>
      </c>
      <c r="BX89" s="115">
        <v>51</v>
      </c>
      <c r="BY89" s="115">
        <v>45</v>
      </c>
      <c r="BZ89" s="44">
        <v>37</v>
      </c>
      <c r="CA89" s="44"/>
      <c r="CB89" s="44">
        <v>34</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EP89" s="44">
        <f t="shared" si="121"/>
        <v>201</v>
      </c>
      <c r="EU89" s="44">
        <f t="shared" si="122"/>
        <v>0</v>
      </c>
      <c r="EV89" s="44">
        <f t="shared" si="114"/>
        <v>0</v>
      </c>
      <c r="EW89" s="44">
        <f t="shared" si="115"/>
        <v>0</v>
      </c>
      <c r="EX89" s="44">
        <f t="shared" si="116"/>
        <v>0</v>
      </c>
      <c r="FQ89" s="44"/>
      <c r="FS89" s="44"/>
    </row>
    <row r="90" spans="1:184">
      <c r="B90" s="14" t="s">
        <v>1626</v>
      </c>
      <c r="W90" s="44"/>
      <c r="X90" s="44"/>
      <c r="Y90" s="44"/>
      <c r="Z90" s="44"/>
      <c r="AA90" s="44"/>
      <c r="AB90" s="44"/>
      <c r="AC90" s="44"/>
      <c r="AD90" s="44"/>
      <c r="AE90" s="44"/>
      <c r="AF90" s="44"/>
      <c r="AG90" s="44"/>
      <c r="AH90" s="44"/>
      <c r="AI90" s="68"/>
      <c r="AJ90" s="44"/>
      <c r="AK90" s="44"/>
      <c r="AL90" s="65"/>
      <c r="AM90" s="65"/>
      <c r="AN90" s="65"/>
      <c r="AO90" s="65"/>
      <c r="AP90" s="70"/>
      <c r="AQ90" s="65"/>
      <c r="AR90" s="65"/>
      <c r="AS90" s="65"/>
      <c r="AT90" s="65"/>
      <c r="AU90" s="44"/>
      <c r="AV90" s="65"/>
      <c r="AW90" s="44"/>
      <c r="AX90" s="65"/>
      <c r="AY90" s="65"/>
      <c r="AZ90" s="44"/>
      <c r="BA90" s="44"/>
      <c r="BB90" s="44"/>
      <c r="BC90" s="65"/>
      <c r="BD90" s="44"/>
      <c r="BE90" s="44"/>
      <c r="BF90" s="65"/>
      <c r="BG90" s="44"/>
      <c r="BH90" s="65"/>
      <c r="BI90" s="44"/>
      <c r="BJ90" s="65"/>
      <c r="BK90" s="70"/>
      <c r="BL90" s="68"/>
      <c r="BM90" s="68"/>
      <c r="BN90" s="68"/>
      <c r="BO90" s="68"/>
      <c r="BP90" s="68"/>
      <c r="BQ90" s="68"/>
      <c r="BR90" s="68"/>
      <c r="BS90" s="115"/>
      <c r="BT90" s="44"/>
      <c r="BU90" s="44"/>
      <c r="BV90" s="44">
        <v>40</v>
      </c>
      <c r="BW90" s="115"/>
      <c r="BX90" s="115">
        <v>42</v>
      </c>
      <c r="BY90" s="115"/>
      <c r="BZ90" s="44">
        <v>57</v>
      </c>
      <c r="CA90" s="44">
        <v>61</v>
      </c>
      <c r="CB90" s="44">
        <v>55</v>
      </c>
      <c r="CC90" s="44"/>
      <c r="CD90" s="44"/>
      <c r="CE90" s="44"/>
      <c r="CF90" s="44"/>
      <c r="CG90" s="44"/>
      <c r="CH90" s="44"/>
      <c r="CI90" s="44"/>
      <c r="CJ90" s="44"/>
      <c r="CK90" s="44"/>
      <c r="CL90" s="44"/>
      <c r="CM90" s="44"/>
      <c r="CN90" s="115"/>
      <c r="CO90" s="115"/>
      <c r="CP90" s="115"/>
      <c r="CQ90" s="115"/>
      <c r="CR90" s="115"/>
      <c r="CS90" s="115"/>
      <c r="CT90" s="115"/>
      <c r="CU90" s="115"/>
      <c r="CV90" s="115"/>
      <c r="CW90" s="115"/>
      <c r="CX90" s="115"/>
      <c r="CY90" s="115"/>
      <c r="CZ90" s="115"/>
      <c r="DA90" s="115"/>
      <c r="DB90" s="115"/>
      <c r="DC90" s="115"/>
      <c r="DD90" s="115"/>
      <c r="DE90" s="115"/>
      <c r="DF90" s="115"/>
      <c r="DG90" s="115"/>
      <c r="DH90" s="115"/>
      <c r="DI90" s="115"/>
      <c r="DJ90" s="115"/>
      <c r="DK90" s="115"/>
      <c r="DL90" s="115"/>
      <c r="DM90" s="115"/>
      <c r="DN90" s="115"/>
      <c r="DO90" s="115"/>
      <c r="DP90" s="44"/>
      <c r="DQ90" s="44"/>
      <c r="DU90" s="68"/>
      <c r="DV90" s="68"/>
      <c r="DW90" s="44"/>
      <c r="DX90" s="44"/>
      <c r="DY90" s="44"/>
      <c r="DZ90" s="68"/>
      <c r="EA90" s="68"/>
      <c r="EB90" s="68"/>
      <c r="EC90" s="68"/>
      <c r="ED90" s="68"/>
      <c r="EE90" s="68"/>
      <c r="EF90" s="68"/>
      <c r="EG90" s="44"/>
      <c r="EH90" s="44"/>
      <c r="EI90" s="44"/>
      <c r="EJ90" s="44"/>
      <c r="EK90" s="65"/>
      <c r="FQ90" s="44"/>
      <c r="FS90" s="44"/>
    </row>
    <row r="91" spans="1:184">
      <c r="B91" s="14" t="s">
        <v>749</v>
      </c>
      <c r="C91" s="62"/>
      <c r="D91" s="62"/>
      <c r="E91" s="62"/>
      <c r="F91" s="62"/>
      <c r="G91" s="62"/>
      <c r="H91" s="62"/>
      <c r="I91" s="62"/>
      <c r="J91" s="62"/>
      <c r="K91" s="62"/>
      <c r="L91" s="62"/>
      <c r="M91" s="62"/>
      <c r="N91" s="62"/>
      <c r="O91" s="62"/>
      <c r="P91" s="62"/>
      <c r="Q91" s="62"/>
      <c r="R91" s="62"/>
      <c r="S91" s="62"/>
      <c r="T91" s="62"/>
      <c r="U91" s="62"/>
      <c r="V91" s="62"/>
      <c r="W91" s="68"/>
      <c r="X91" s="68"/>
      <c r="Y91" s="68"/>
      <c r="Z91" s="68"/>
      <c r="AA91" s="44"/>
      <c r="AB91" s="44"/>
      <c r="AC91" s="44"/>
      <c r="AD91" s="44"/>
      <c r="AE91" s="44"/>
      <c r="AF91" s="44"/>
      <c r="AG91" s="44"/>
      <c r="AH91" s="44"/>
      <c r="AI91" s="68"/>
      <c r="AM91" s="69"/>
      <c r="AN91" s="69"/>
      <c r="AO91" s="69"/>
      <c r="AP91" s="103"/>
      <c r="AQ91" s="65"/>
      <c r="AR91" s="65"/>
      <c r="AS91" s="65"/>
      <c r="AT91" s="65"/>
      <c r="AU91" s="44"/>
      <c r="AV91" s="65"/>
      <c r="AW91" s="44"/>
      <c r="AX91" s="44"/>
      <c r="AY91" s="44"/>
      <c r="AZ91" s="44"/>
      <c r="BA91" s="44"/>
      <c r="BB91" s="44"/>
      <c r="BC91" s="65"/>
      <c r="BD91" s="44"/>
      <c r="BE91" s="44"/>
      <c r="BF91" s="65">
        <v>43</v>
      </c>
      <c r="BG91" s="44"/>
      <c r="BH91" s="65"/>
      <c r="BI91" s="44"/>
      <c r="BJ91" s="65">
        <v>57</v>
      </c>
      <c r="BK91" s="70" t="s">
        <v>605</v>
      </c>
      <c r="BL91" s="68" t="s">
        <v>605</v>
      </c>
      <c r="BM91" s="68">
        <v>50</v>
      </c>
      <c r="BN91" s="68" t="s">
        <v>605</v>
      </c>
      <c r="BO91" s="68" t="s">
        <v>605</v>
      </c>
      <c r="BP91" s="68" t="s">
        <v>605</v>
      </c>
      <c r="BQ91" s="68" t="s">
        <v>605</v>
      </c>
      <c r="BR91" s="68" t="s">
        <v>605</v>
      </c>
      <c r="BS91" s="122"/>
      <c r="BT91" s="68" t="s">
        <v>605</v>
      </c>
      <c r="BU91" s="68" t="s">
        <v>605</v>
      </c>
      <c r="BV91" s="68" t="s">
        <v>605</v>
      </c>
      <c r="BW91" s="122"/>
      <c r="BX91" s="122"/>
      <c r="BY91" s="122"/>
      <c r="BZ91" s="68"/>
      <c r="CA91" s="68"/>
      <c r="CB91" s="68"/>
      <c r="CC91" s="68"/>
      <c r="CD91" s="68"/>
      <c r="CE91" s="68"/>
      <c r="CF91" s="68"/>
      <c r="CG91" s="68"/>
      <c r="CH91" s="68"/>
      <c r="CI91" s="68"/>
      <c r="CJ91" s="68"/>
      <c r="CK91" s="68"/>
      <c r="CL91" s="68"/>
      <c r="CM91" s="68"/>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68"/>
      <c r="DQ91" s="68"/>
      <c r="DU91" s="68"/>
      <c r="DV91" s="68"/>
      <c r="DW91" s="68"/>
      <c r="DX91" s="68"/>
      <c r="DY91" s="68"/>
      <c r="DZ91" s="68"/>
      <c r="EA91" s="68"/>
      <c r="EB91" s="68"/>
      <c r="EC91" s="68"/>
      <c r="ED91" s="44"/>
      <c r="EE91" s="44"/>
      <c r="EF91" s="44"/>
      <c r="EG91" s="44"/>
      <c r="EH91" s="44"/>
      <c r="EI91" s="44"/>
      <c r="EJ91" s="44"/>
      <c r="EK91" s="65"/>
      <c r="EP91" s="44">
        <f t="shared" si="121"/>
        <v>0</v>
      </c>
      <c r="EU91" s="44">
        <f t="shared" si="122"/>
        <v>0</v>
      </c>
      <c r="EV91" s="44">
        <f t="shared" si="114"/>
        <v>0</v>
      </c>
      <c r="EW91" s="44">
        <f t="shared" si="115"/>
        <v>0</v>
      </c>
      <c r="EX91" s="44">
        <f t="shared" si="116"/>
        <v>0</v>
      </c>
    </row>
    <row r="92" spans="1:184">
      <c r="B92" s="14" t="s">
        <v>750</v>
      </c>
      <c r="AE92" s="44"/>
      <c r="AF92" s="44"/>
      <c r="AG92" s="44"/>
      <c r="AH92" s="44"/>
      <c r="AI92" s="68"/>
      <c r="AJ92" s="44"/>
      <c r="AK92" s="68" t="s">
        <v>605</v>
      </c>
      <c r="AL92" s="68" t="s">
        <v>605</v>
      </c>
      <c r="AM92" s="68">
        <v>136</v>
      </c>
      <c r="AN92" s="68">
        <v>159</v>
      </c>
      <c r="AO92" s="68" t="s">
        <v>605</v>
      </c>
      <c r="AP92" s="68" t="s">
        <v>605</v>
      </c>
      <c r="AQ92" s="68" t="s">
        <v>605</v>
      </c>
      <c r="AR92" s="68" t="s">
        <v>605</v>
      </c>
      <c r="AS92" s="68" t="s">
        <v>605</v>
      </c>
      <c r="AT92" s="68" t="s">
        <v>605</v>
      </c>
      <c r="AU92" s="68" t="s">
        <v>605</v>
      </c>
      <c r="AV92" s="70" t="s">
        <v>605</v>
      </c>
      <c r="AW92" s="68" t="s">
        <v>605</v>
      </c>
      <c r="AX92" s="73">
        <v>203</v>
      </c>
      <c r="AY92" s="75" t="s">
        <v>751</v>
      </c>
      <c r="AZ92" s="73"/>
      <c r="BA92" s="73"/>
      <c r="BB92" s="44">
        <v>223</v>
      </c>
      <c r="BC92" s="65">
        <v>174</v>
      </c>
      <c r="BD92" s="44">
        <v>195</v>
      </c>
      <c r="BE92" s="44">
        <v>176</v>
      </c>
      <c r="BF92" s="65">
        <v>207</v>
      </c>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44"/>
      <c r="DV92" s="44"/>
      <c r="DW92" s="44"/>
      <c r="DX92" s="44"/>
      <c r="DY92" s="44"/>
      <c r="DZ92" s="44"/>
      <c r="EA92" s="44"/>
      <c r="EB92" s="44"/>
      <c r="EC92" s="44"/>
      <c r="ED92" s="44"/>
      <c r="EE92" s="44"/>
      <c r="EF92" s="44"/>
      <c r="EG92" s="44"/>
      <c r="EH92" s="73"/>
      <c r="EI92" s="73"/>
      <c r="EJ92" s="44"/>
      <c r="EK92" s="65">
        <f>SUM(AY92:BB92)</f>
        <v>223</v>
      </c>
      <c r="EL92" s="44">
        <f>SUM(BC92:BF92)</f>
        <v>752</v>
      </c>
      <c r="EM92" s="68" t="s">
        <v>752</v>
      </c>
      <c r="EP92" s="44">
        <f t="shared" si="121"/>
        <v>0</v>
      </c>
      <c r="EU92" s="44">
        <f t="shared" si="122"/>
        <v>0</v>
      </c>
      <c r="EV92" s="44">
        <f t="shared" si="114"/>
        <v>0</v>
      </c>
      <c r="EW92" s="44">
        <f t="shared" si="115"/>
        <v>0</v>
      </c>
      <c r="EX92" s="44">
        <f t="shared" si="116"/>
        <v>0</v>
      </c>
      <c r="FQ92" s="81">
        <f>EL92*0.3</f>
        <v>225.6</v>
      </c>
      <c r="FR92" s="44">
        <f>EQ92*0.3</f>
        <v>0</v>
      </c>
      <c r="FS92" s="82">
        <f>ER92*0.3</f>
        <v>0</v>
      </c>
    </row>
    <row r="93" spans="1:184" collapsed="1">
      <c r="B93" s="4" t="s">
        <v>753</v>
      </c>
      <c r="G93" s="37">
        <f>47+51</f>
        <v>98</v>
      </c>
      <c r="H93" s="37">
        <f>64+55</f>
        <v>119</v>
      </c>
      <c r="I93" s="37">
        <f>63+57</f>
        <v>120</v>
      </c>
      <c r="J93" s="37">
        <f>58+58</f>
        <v>116</v>
      </c>
      <c r="K93" s="37">
        <f>52+64</f>
        <v>116</v>
      </c>
      <c r="L93" s="37">
        <f>61+66</f>
        <v>127</v>
      </c>
      <c r="M93" s="37">
        <f>73+62</f>
        <v>135</v>
      </c>
      <c r="N93" s="37">
        <f>74+62</f>
        <v>136</v>
      </c>
      <c r="O93" s="37">
        <f>71+58</f>
        <v>129</v>
      </c>
      <c r="P93" s="37">
        <f>74+68</f>
        <v>142</v>
      </c>
      <c r="Q93" s="37">
        <f>75+56</f>
        <v>131</v>
      </c>
      <c r="R93" s="37">
        <f>96+55</f>
        <v>151</v>
      </c>
      <c r="S93" s="37">
        <f>90+54</f>
        <v>144</v>
      </c>
      <c r="T93" s="37">
        <f>84+57</f>
        <v>141</v>
      </c>
      <c r="U93" s="37">
        <f>94+59</f>
        <v>153</v>
      </c>
      <c r="V93" s="37">
        <f>108+58</f>
        <v>166</v>
      </c>
      <c r="W93" s="44">
        <f>121+55</f>
        <v>176</v>
      </c>
      <c r="X93" s="44">
        <f>81+59</f>
        <v>140</v>
      </c>
      <c r="Y93" s="44">
        <f>104+58</f>
        <v>162</v>
      </c>
      <c r="Z93" s="44">
        <f>124+67</f>
        <v>191</v>
      </c>
      <c r="AA93" s="44">
        <f>113+57</f>
        <v>170</v>
      </c>
      <c r="AB93" s="44">
        <f>87+63</f>
        <v>150</v>
      </c>
      <c r="AC93" s="44">
        <f>111+68</f>
        <v>179</v>
      </c>
      <c r="AD93" s="44">
        <f>133+75</f>
        <v>208</v>
      </c>
      <c r="AE93" s="44">
        <f>125+66</f>
        <v>191</v>
      </c>
      <c r="AF93" s="44">
        <f>86+72</f>
        <v>158</v>
      </c>
      <c r="AG93" s="44">
        <f>91+66</f>
        <v>157</v>
      </c>
      <c r="AH93" s="44">
        <f>90+75</f>
        <v>165</v>
      </c>
      <c r="AI93" s="68">
        <f>29+71</f>
        <v>100</v>
      </c>
      <c r="AJ93" s="44">
        <f>3+70</f>
        <v>73</v>
      </c>
      <c r="AK93" s="44">
        <f>15+62</f>
        <v>77</v>
      </c>
      <c r="AL93" s="65">
        <v>44</v>
      </c>
      <c r="AM93" s="65">
        <v>68</v>
      </c>
      <c r="AN93" s="65">
        <v>69</v>
      </c>
      <c r="AO93" s="70">
        <v>61</v>
      </c>
      <c r="AP93" s="70">
        <v>68</v>
      </c>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t="s">
        <v>605</v>
      </c>
      <c r="DW93" s="68" t="s">
        <v>605</v>
      </c>
      <c r="DX93" s="68" t="s">
        <v>605</v>
      </c>
      <c r="DY93" s="68">
        <v>378</v>
      </c>
      <c r="DZ93" s="68">
        <f>SUM(G93:J93)</f>
        <v>453</v>
      </c>
      <c r="EA93" s="68">
        <f>SUM(K93:N93)</f>
        <v>514</v>
      </c>
      <c r="EB93" s="68">
        <f>SUM(O93:R93)</f>
        <v>553</v>
      </c>
      <c r="EC93" s="68">
        <f>SUM(S93:V93)</f>
        <v>604</v>
      </c>
      <c r="ED93" s="68">
        <f>SUM(W93:Z93)</f>
        <v>669</v>
      </c>
      <c r="EE93" s="68">
        <f>SUM(AA93:AD93)</f>
        <v>707</v>
      </c>
      <c r="EF93" s="44">
        <f>SUM(AE93:AH93)</f>
        <v>671</v>
      </c>
      <c r="EG93" s="44">
        <v>294</v>
      </c>
      <c r="EH93" s="44">
        <v>266</v>
      </c>
      <c r="EI93" s="44"/>
      <c r="EJ93" s="44"/>
      <c r="EK93" s="65">
        <f>SUM(AY93:BB93)</f>
        <v>0</v>
      </c>
      <c r="EP93" s="44">
        <f t="shared" si="121"/>
        <v>0</v>
      </c>
      <c r="EU93" s="44">
        <f t="shared" si="122"/>
        <v>0</v>
      </c>
      <c r="EV93" s="44">
        <f t="shared" si="114"/>
        <v>0</v>
      </c>
      <c r="EW93" s="44">
        <f t="shared" si="115"/>
        <v>0</v>
      </c>
      <c r="EX93" s="44">
        <f t="shared" si="116"/>
        <v>0</v>
      </c>
    </row>
    <row r="94" spans="1:184">
      <c r="B94" s="4" t="s">
        <v>754</v>
      </c>
      <c r="C94" s="37">
        <v>239</v>
      </c>
      <c r="D94" s="37">
        <v>168</v>
      </c>
      <c r="E94" s="37">
        <v>223</v>
      </c>
      <c r="F94" s="44">
        <f>DY94-E94-D94-C94</f>
        <v>192</v>
      </c>
      <c r="G94" s="37">
        <v>193</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v>1177</v>
      </c>
      <c r="DW94" s="68">
        <v>1133</v>
      </c>
      <c r="DX94" s="68">
        <v>1005</v>
      </c>
      <c r="DY94" s="68">
        <v>822</v>
      </c>
      <c r="DZ94" s="68"/>
      <c r="EA94" s="68"/>
      <c r="EB94" s="68"/>
      <c r="EC94" s="68"/>
      <c r="ED94" s="68"/>
      <c r="EE94" s="68"/>
      <c r="EF94" s="44"/>
      <c r="EG94" s="44"/>
      <c r="EH94" s="44"/>
      <c r="EI94" s="44"/>
      <c r="EJ94" s="44"/>
      <c r="EK94" s="65"/>
      <c r="EP94" s="44">
        <f t="shared" si="121"/>
        <v>0</v>
      </c>
      <c r="EU94" s="44">
        <f t="shared" si="122"/>
        <v>0</v>
      </c>
      <c r="EV94" s="44">
        <f t="shared" si="114"/>
        <v>0</v>
      </c>
      <c r="EW94" s="44">
        <f t="shared" si="115"/>
        <v>0</v>
      </c>
      <c r="EX94" s="44">
        <f t="shared" si="116"/>
        <v>0</v>
      </c>
    </row>
    <row r="95" spans="1:184">
      <c r="B95" s="4" t="s">
        <v>81</v>
      </c>
      <c r="C95" s="37">
        <v>0</v>
      </c>
      <c r="G95" s="37">
        <v>41</v>
      </c>
      <c r="W95" s="44"/>
      <c r="X95" s="44"/>
      <c r="Y95" s="44"/>
      <c r="Z95" s="44"/>
      <c r="AA95" s="44"/>
      <c r="AB95" s="44"/>
      <c r="AC95" s="44"/>
      <c r="AD95" s="44"/>
      <c r="AE95" s="44"/>
      <c r="AF95" s="44"/>
      <c r="AG95" s="44"/>
      <c r="AH95" s="44"/>
      <c r="AI95" s="68"/>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122"/>
      <c r="BT95" s="70" t="s">
        <v>605</v>
      </c>
      <c r="BU95" s="70" t="s">
        <v>605</v>
      </c>
      <c r="BV95" s="70" t="s">
        <v>605</v>
      </c>
      <c r="BW95" s="122"/>
      <c r="BX95" s="122"/>
      <c r="BY95" s="122"/>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c r="DW95" s="68"/>
      <c r="DX95" s="68"/>
      <c r="DY95" s="68"/>
      <c r="DZ95" s="68"/>
      <c r="EA95" s="68"/>
      <c r="EB95" s="68"/>
      <c r="EC95" s="68"/>
      <c r="ED95" s="68"/>
      <c r="EE95" s="68"/>
      <c r="EF95" s="44"/>
      <c r="EG95" s="44"/>
      <c r="EH95" s="44"/>
      <c r="EI95" s="44"/>
      <c r="EJ95" s="44"/>
      <c r="EK95" s="65"/>
      <c r="EP95" s="44">
        <f t="shared" si="121"/>
        <v>0</v>
      </c>
      <c r="EU95" s="44">
        <f t="shared" si="122"/>
        <v>0</v>
      </c>
      <c r="EV95" s="44">
        <f t="shared" si="114"/>
        <v>0</v>
      </c>
      <c r="EW95" s="44">
        <f t="shared" si="115"/>
        <v>0</v>
      </c>
      <c r="EX95" s="44">
        <f t="shared" si="116"/>
        <v>0</v>
      </c>
    </row>
    <row r="96" spans="1:184" collapsed="1">
      <c r="B96" s="4" t="s">
        <v>755</v>
      </c>
      <c r="C96" s="68"/>
      <c r="D96" s="68"/>
      <c r="E96" s="68"/>
      <c r="F96" s="68"/>
      <c r="G96" s="68" t="s">
        <v>605</v>
      </c>
      <c r="H96" s="68" t="s">
        <v>605</v>
      </c>
      <c r="I96" s="68" t="s">
        <v>605</v>
      </c>
      <c r="J96" s="68" t="s">
        <v>605</v>
      </c>
      <c r="K96" s="68" t="s">
        <v>605</v>
      </c>
      <c r="L96" s="68" t="s">
        <v>605</v>
      </c>
      <c r="M96" s="68" t="s">
        <v>605</v>
      </c>
      <c r="N96" s="68" t="s">
        <v>605</v>
      </c>
      <c r="O96" s="68" t="s">
        <v>605</v>
      </c>
      <c r="P96" s="68" t="s">
        <v>605</v>
      </c>
      <c r="Q96" s="68" t="s">
        <v>605</v>
      </c>
      <c r="R96" s="68" t="s">
        <v>605</v>
      </c>
      <c r="S96" s="68" t="s">
        <v>605</v>
      </c>
      <c r="T96" s="68" t="s">
        <v>605</v>
      </c>
      <c r="U96" s="68" t="s">
        <v>605</v>
      </c>
      <c r="V96" s="68" t="s">
        <v>605</v>
      </c>
      <c r="W96" s="44">
        <v>91</v>
      </c>
      <c r="X96" s="44">
        <v>193</v>
      </c>
      <c r="Y96" s="44">
        <v>153</v>
      </c>
      <c r="Z96" s="44">
        <v>137</v>
      </c>
      <c r="AA96" s="44">
        <v>117</v>
      </c>
      <c r="AB96" s="44">
        <f>107+4</f>
        <v>111</v>
      </c>
      <c r="AC96" s="44">
        <f>93+12</f>
        <v>105</v>
      </c>
      <c r="AD96" s="44">
        <f>69+14</f>
        <v>83</v>
      </c>
      <c r="AE96" s="44">
        <f>81+10</f>
        <v>91</v>
      </c>
      <c r="AF96" s="44">
        <f>133+14</f>
        <v>147</v>
      </c>
      <c r="AG96" s="44">
        <f>112+14</f>
        <v>126</v>
      </c>
      <c r="AH96" s="44">
        <f>123+66</f>
        <v>189</v>
      </c>
      <c r="AI96" s="68">
        <f>104+108</f>
        <v>212</v>
      </c>
      <c r="AJ96" s="44">
        <f>123+110</f>
        <v>233</v>
      </c>
      <c r="AK96" s="44">
        <f>119+110</f>
        <v>229</v>
      </c>
      <c r="AL96" s="65">
        <v>237</v>
      </c>
      <c r="AM96" s="65">
        <v>212</v>
      </c>
      <c r="AN96" s="65">
        <v>238</v>
      </c>
      <c r="AO96" s="65">
        <v>218</v>
      </c>
      <c r="AP96" s="103">
        <v>235</v>
      </c>
      <c r="AQ96" s="65">
        <v>229</v>
      </c>
      <c r="AR96" s="65">
        <v>241</v>
      </c>
      <c r="AS96" s="65">
        <v>243</v>
      </c>
      <c r="AT96" s="65">
        <v>256</v>
      </c>
      <c r="AU96" s="44">
        <f>83+109</f>
        <v>192</v>
      </c>
      <c r="AV96" s="65">
        <f>5+132</f>
        <v>137</v>
      </c>
      <c r="AW96" s="44">
        <v>122</v>
      </c>
      <c r="AX96" s="65">
        <v>112</v>
      </c>
      <c r="AY96" s="65">
        <v>109</v>
      </c>
      <c r="AZ96" s="44">
        <v>85</v>
      </c>
      <c r="BA96" s="44">
        <v>82</v>
      </c>
      <c r="BB96" s="68" t="s">
        <v>605</v>
      </c>
      <c r="BC96" s="70" t="s">
        <v>605</v>
      </c>
      <c r="BD96" s="68" t="s">
        <v>605</v>
      </c>
      <c r="BE96" s="68" t="s">
        <v>605</v>
      </c>
      <c r="BF96" s="70" t="s">
        <v>605</v>
      </c>
      <c r="BG96" s="70" t="s">
        <v>605</v>
      </c>
      <c r="BH96" s="70" t="s">
        <v>605</v>
      </c>
      <c r="BI96" s="70" t="s">
        <v>605</v>
      </c>
      <c r="BJ96" s="70" t="s">
        <v>605</v>
      </c>
      <c r="BK96" s="70" t="s">
        <v>605</v>
      </c>
      <c r="BL96" s="70" t="s">
        <v>605</v>
      </c>
      <c r="BM96" s="70" t="s">
        <v>605</v>
      </c>
      <c r="BN96" s="70" t="s">
        <v>605</v>
      </c>
      <c r="BO96" s="70" t="s">
        <v>605</v>
      </c>
      <c r="BP96" s="68" t="s">
        <v>605</v>
      </c>
      <c r="BQ96" s="68" t="s">
        <v>605</v>
      </c>
      <c r="BR96" s="68" t="s">
        <v>605</v>
      </c>
      <c r="BS96" s="122"/>
      <c r="BT96" s="68" t="s">
        <v>605</v>
      </c>
      <c r="BU96" s="68" t="s">
        <v>605</v>
      </c>
      <c r="BV96" s="68" t="s">
        <v>605</v>
      </c>
      <c r="BW96" s="122"/>
      <c r="BX96" s="122"/>
      <c r="BY96" s="122"/>
      <c r="BZ96" s="68"/>
      <c r="CA96" s="68"/>
      <c r="CB96" s="68"/>
      <c r="CC96" s="68"/>
      <c r="CD96" s="68"/>
      <c r="CE96" s="68"/>
      <c r="CF96" s="68"/>
      <c r="CG96" s="68"/>
      <c r="CH96" s="68"/>
      <c r="CI96" s="68"/>
      <c r="CJ96" s="68"/>
      <c r="CK96" s="68"/>
      <c r="CL96" s="68"/>
      <c r="CM96" s="68"/>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68"/>
      <c r="DQ96" s="68"/>
      <c r="DU96" s="68"/>
      <c r="DV96" s="68" t="s">
        <v>605</v>
      </c>
      <c r="DW96" s="68" t="s">
        <v>605</v>
      </c>
      <c r="DX96" s="68" t="s">
        <v>605</v>
      </c>
      <c r="DY96" s="68" t="s">
        <v>605</v>
      </c>
      <c r="DZ96" s="68" t="s">
        <v>605</v>
      </c>
      <c r="EA96" s="68" t="s">
        <v>605</v>
      </c>
      <c r="EB96" s="68" t="s">
        <v>605</v>
      </c>
      <c r="EC96" s="68" t="s">
        <v>605</v>
      </c>
      <c r="ED96" s="68">
        <f>SUM(W96:Z96)</f>
        <v>574</v>
      </c>
      <c r="EE96" s="44">
        <f>SUM(AA96:AD96)</f>
        <v>416</v>
      </c>
      <c r="EF96" s="44">
        <f>SUM(AE96:AH96)</f>
        <v>553</v>
      </c>
      <c r="EG96" s="44">
        <v>910</v>
      </c>
      <c r="EH96" s="44">
        <v>903</v>
      </c>
      <c r="EI96" s="44">
        <f>SUM(AQ96:AT96)</f>
        <v>969</v>
      </c>
      <c r="EJ96" s="44">
        <f>SUM(AU96:AX96)</f>
        <v>563</v>
      </c>
      <c r="EK96" s="65">
        <f>SUM(AY96:BB96)</f>
        <v>276</v>
      </c>
      <c r="EP96" s="44">
        <f t="shared" si="121"/>
        <v>0</v>
      </c>
      <c r="EU96" s="44">
        <f t="shared" si="122"/>
        <v>0</v>
      </c>
      <c r="EV96" s="44">
        <f t="shared" si="114"/>
        <v>0</v>
      </c>
      <c r="EW96" s="44">
        <f t="shared" si="115"/>
        <v>0</v>
      </c>
      <c r="EX96" s="44">
        <f t="shared" si="116"/>
        <v>0</v>
      </c>
      <c r="FS96" s="82">
        <v>0</v>
      </c>
      <c r="FU96" s="19"/>
    </row>
    <row r="97" spans="2:177">
      <c r="B97" s="4" t="s">
        <v>756</v>
      </c>
      <c r="C97" s="37">
        <v>0</v>
      </c>
      <c r="G97" s="37">
        <v>82</v>
      </c>
      <c r="W97" s="44"/>
      <c r="X97" s="44"/>
      <c r="Y97" s="44"/>
      <c r="Z97" s="44"/>
      <c r="AA97" s="44"/>
      <c r="AB97" s="44"/>
      <c r="AC97" s="44"/>
      <c r="AD97" s="44"/>
      <c r="AE97" s="44"/>
      <c r="AF97" s="44"/>
      <c r="AG97" s="44"/>
      <c r="AH97" s="44"/>
      <c r="AI97" s="68">
        <v>342</v>
      </c>
      <c r="AJ97" s="44"/>
      <c r="AK97" s="44"/>
      <c r="AL97" s="65"/>
      <c r="AM97" s="65"/>
      <c r="AN97" s="65"/>
      <c r="AO97" s="70"/>
      <c r="AP97" s="70"/>
      <c r="AQ97" s="65"/>
      <c r="AR97" s="65"/>
      <c r="AS97" s="65"/>
      <c r="AT97" s="65"/>
      <c r="AV97" s="69"/>
      <c r="BC97" s="69"/>
      <c r="BF97" s="69"/>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v>11</v>
      </c>
      <c r="DW97" s="68">
        <v>10</v>
      </c>
      <c r="DX97" s="68">
        <v>146</v>
      </c>
      <c r="DY97" s="68">
        <v>265</v>
      </c>
      <c r="DZ97" s="68"/>
      <c r="EA97" s="68"/>
      <c r="EB97" s="68"/>
      <c r="EC97" s="68"/>
      <c r="ED97" s="68"/>
      <c r="EE97" s="68"/>
      <c r="EF97" s="44"/>
      <c r="EG97" s="44"/>
      <c r="EH97" s="44"/>
      <c r="EI97" s="44"/>
      <c r="EJ97" s="44"/>
      <c r="EK97" s="65"/>
      <c r="EP97" s="44">
        <f t="shared" si="121"/>
        <v>0</v>
      </c>
      <c r="EU97" s="44">
        <f t="shared" si="122"/>
        <v>0</v>
      </c>
      <c r="EV97" s="44">
        <f t="shared" si="114"/>
        <v>0</v>
      </c>
      <c r="EW97" s="44">
        <f t="shared" si="115"/>
        <v>0</v>
      </c>
      <c r="EX97" s="44">
        <f t="shared" si="116"/>
        <v>0</v>
      </c>
    </row>
    <row r="98" spans="2:177" collapsed="1">
      <c r="B98" s="4" t="s">
        <v>757</v>
      </c>
      <c r="C98" s="62"/>
      <c r="D98" s="62"/>
      <c r="E98" s="62"/>
      <c r="F98" s="62"/>
      <c r="G98" s="62" t="s">
        <v>605</v>
      </c>
      <c r="H98" s="62" t="s">
        <v>605</v>
      </c>
      <c r="I98" s="62" t="s">
        <v>605</v>
      </c>
      <c r="J98" s="62" t="s">
        <v>605</v>
      </c>
      <c r="K98" s="62" t="s">
        <v>605</v>
      </c>
      <c r="L98" s="62" t="s">
        <v>605</v>
      </c>
      <c r="M98" s="62" t="s">
        <v>605</v>
      </c>
      <c r="N98" s="62" t="s">
        <v>605</v>
      </c>
      <c r="O98" s="62" t="s">
        <v>605</v>
      </c>
      <c r="P98" s="62" t="s">
        <v>605</v>
      </c>
      <c r="Q98" s="62" t="s">
        <v>605</v>
      </c>
      <c r="R98" s="62" t="s">
        <v>605</v>
      </c>
      <c r="S98" s="62" t="s">
        <v>605</v>
      </c>
      <c r="T98" s="62" t="s">
        <v>605</v>
      </c>
      <c r="U98" s="62" t="s">
        <v>605</v>
      </c>
      <c r="V98" s="62" t="s">
        <v>605</v>
      </c>
      <c r="W98" s="62" t="s">
        <v>605</v>
      </c>
      <c r="X98" s="62" t="s">
        <v>605</v>
      </c>
      <c r="Y98" s="62" t="s">
        <v>605</v>
      </c>
      <c r="Z98" s="62" t="s">
        <v>605</v>
      </c>
      <c r="AA98" s="62" t="s">
        <v>605</v>
      </c>
      <c r="AB98" s="37">
        <f>13+27</f>
        <v>40</v>
      </c>
      <c r="AC98" s="37">
        <f>17+64</f>
        <v>81</v>
      </c>
      <c r="AD98" s="37">
        <f>26+68</f>
        <v>94</v>
      </c>
      <c r="AE98" s="44">
        <f>17+63</f>
        <v>80</v>
      </c>
      <c r="AF98" s="44">
        <f>17+71</f>
        <v>88</v>
      </c>
      <c r="AG98" s="44">
        <f>15+71</f>
        <v>86</v>
      </c>
      <c r="AH98" s="44">
        <f>18+72</f>
        <v>90</v>
      </c>
      <c r="AI98" s="68">
        <f>18+72</f>
        <v>90</v>
      </c>
      <c r="AJ98" s="37">
        <f>20+76</f>
        <v>96</v>
      </c>
      <c r="AK98" s="37">
        <f>18+68</f>
        <v>86</v>
      </c>
      <c r="AL98" s="65">
        <v>94</v>
      </c>
      <c r="AM98" s="65">
        <v>73</v>
      </c>
      <c r="AN98" s="69">
        <v>86</v>
      </c>
      <c r="AO98" s="69">
        <v>77</v>
      </c>
      <c r="AP98" s="103">
        <v>76</v>
      </c>
      <c r="AQ98" s="65"/>
      <c r="AR98" s="65"/>
      <c r="AS98" s="65"/>
      <c r="AT98" s="65"/>
      <c r="AU98" s="44"/>
      <c r="AV98" s="65"/>
      <c r="AW98" s="44"/>
      <c r="AX98" s="44"/>
      <c r="AY98" s="44"/>
      <c r="AZ98" s="44"/>
      <c r="BA98" s="44"/>
      <c r="BB98" s="44"/>
      <c r="BC98" s="65"/>
      <c r="BD98" s="44"/>
      <c r="BE98" s="44"/>
      <c r="BF98" s="65"/>
      <c r="BG98" s="70" t="s">
        <v>605</v>
      </c>
      <c r="BH98" s="70" t="s">
        <v>605</v>
      </c>
      <c r="BI98" s="70" t="s">
        <v>605</v>
      </c>
      <c r="BJ98" s="70" t="s">
        <v>605</v>
      </c>
      <c r="BK98" s="70" t="s">
        <v>605</v>
      </c>
      <c r="BL98" s="70" t="s">
        <v>605</v>
      </c>
      <c r="BM98" s="70" t="s">
        <v>605</v>
      </c>
      <c r="BN98" s="70" t="s">
        <v>605</v>
      </c>
      <c r="BO98" s="70" t="s">
        <v>605</v>
      </c>
      <c r="BP98" s="70" t="s">
        <v>605</v>
      </c>
      <c r="BQ98" s="70" t="s">
        <v>605</v>
      </c>
      <c r="BR98" s="70" t="s">
        <v>605</v>
      </c>
      <c r="BS98" s="122"/>
      <c r="BT98" s="70" t="s">
        <v>605</v>
      </c>
      <c r="BU98" s="70" t="s">
        <v>605</v>
      </c>
      <c r="BV98" s="70" t="s">
        <v>605</v>
      </c>
      <c r="BW98" s="122"/>
      <c r="BX98" s="122"/>
      <c r="BY98" s="122"/>
      <c r="BZ98" s="70"/>
      <c r="CA98" s="70"/>
      <c r="CB98" s="70"/>
      <c r="CC98" s="70"/>
      <c r="CD98" s="70"/>
      <c r="CE98" s="70"/>
      <c r="CF98" s="70"/>
      <c r="CG98" s="70"/>
      <c r="CH98" s="70"/>
      <c r="CI98" s="70"/>
      <c r="CJ98" s="70"/>
      <c r="CK98" s="70"/>
      <c r="CL98" s="70"/>
      <c r="CM98" s="70"/>
      <c r="CN98" s="122"/>
      <c r="CO98" s="122"/>
      <c r="CP98" s="122"/>
      <c r="CQ98" s="122"/>
      <c r="CR98" s="122"/>
      <c r="CS98" s="122"/>
      <c r="CT98" s="122"/>
      <c r="CU98" s="122"/>
      <c r="CV98" s="122"/>
      <c r="CW98" s="122"/>
      <c r="CX98" s="122"/>
      <c r="CY98" s="122"/>
      <c r="CZ98" s="122"/>
      <c r="DA98" s="122"/>
      <c r="DB98" s="122"/>
      <c r="DC98" s="122"/>
      <c r="DD98" s="122"/>
      <c r="DE98" s="122"/>
      <c r="DF98" s="122"/>
      <c r="DG98" s="122"/>
      <c r="DH98" s="122"/>
      <c r="DI98" s="122"/>
      <c r="DJ98" s="122"/>
      <c r="DK98" s="122"/>
      <c r="DL98" s="122"/>
      <c r="DM98" s="122"/>
      <c r="DN98" s="122"/>
      <c r="DO98" s="122"/>
      <c r="DP98" s="70"/>
      <c r="DQ98" s="70"/>
      <c r="DU98" s="68"/>
      <c r="DV98" s="68" t="s">
        <v>605</v>
      </c>
      <c r="DW98" s="68" t="s">
        <v>605</v>
      </c>
      <c r="DX98" s="68" t="s">
        <v>605</v>
      </c>
      <c r="DY98" s="68" t="s">
        <v>605</v>
      </c>
      <c r="DZ98" s="68" t="s">
        <v>605</v>
      </c>
      <c r="EA98" s="68" t="s">
        <v>605</v>
      </c>
      <c r="EB98" s="68" t="s">
        <v>605</v>
      </c>
      <c r="EC98" s="68" t="s">
        <v>605</v>
      </c>
      <c r="ED98" s="68" t="s">
        <v>605</v>
      </c>
      <c r="EE98" s="68">
        <f>SUM(AA98:AD98)</f>
        <v>215</v>
      </c>
      <c r="EF98" s="68">
        <f>SUM(AE98:AH98)</f>
        <v>344</v>
      </c>
      <c r="EG98" s="44">
        <v>367</v>
      </c>
      <c r="EH98" s="44">
        <v>312</v>
      </c>
      <c r="EI98" s="44"/>
      <c r="EJ98" s="44"/>
      <c r="EK98" s="65">
        <f>SUM(AY98:BB98)</f>
        <v>0</v>
      </c>
      <c r="EP98" s="44">
        <f t="shared" si="121"/>
        <v>0</v>
      </c>
      <c r="EU98" s="44">
        <f t="shared" si="122"/>
        <v>0</v>
      </c>
      <c r="EV98" s="44">
        <f t="shared" si="114"/>
        <v>0</v>
      </c>
      <c r="EW98" s="44">
        <f t="shared" si="115"/>
        <v>0</v>
      </c>
      <c r="EX98" s="44">
        <f t="shared" si="116"/>
        <v>0</v>
      </c>
    </row>
    <row r="99" spans="2:177" s="9" customFormat="1">
      <c r="B99" s="14" t="s">
        <v>758</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v>50</v>
      </c>
      <c r="AF99" s="68">
        <v>50</v>
      </c>
      <c r="AG99" s="68">
        <v>50</v>
      </c>
      <c r="AH99" s="68">
        <f>5077-3264-1253-168-15-165</f>
        <v>212</v>
      </c>
      <c r="AI99" s="74">
        <f>4726-3075-1175-153-31-100</f>
        <v>192</v>
      </c>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c r="BY99" s="115"/>
      <c r="BZ99" s="44"/>
      <c r="CA99" s="44"/>
      <c r="CB99" s="44"/>
      <c r="CC99" s="44"/>
      <c r="CD99" s="44"/>
      <c r="CE99" s="44"/>
      <c r="CF99" s="44"/>
      <c r="CG99" s="44"/>
      <c r="CH99" s="44"/>
      <c r="CI99" s="44"/>
      <c r="CJ99" s="44"/>
      <c r="CK99" s="44"/>
      <c r="CL99" s="44"/>
      <c r="CM99" s="44"/>
      <c r="CN99" s="115"/>
      <c r="CO99" s="115"/>
      <c r="CP99" s="115"/>
      <c r="CQ99" s="115"/>
      <c r="CR99" s="115"/>
      <c r="CS99" s="115"/>
      <c r="CT99" s="115"/>
      <c r="CU99" s="115"/>
      <c r="CV99" s="115"/>
      <c r="CW99" s="115"/>
      <c r="CX99" s="115"/>
      <c r="CY99" s="115"/>
      <c r="CZ99" s="115"/>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v>979</v>
      </c>
      <c r="EF99" s="68">
        <v>744</v>
      </c>
      <c r="EG99" s="68">
        <v>774</v>
      </c>
      <c r="EH99" s="68">
        <v>844</v>
      </c>
      <c r="EI99" s="68">
        <f>EH99*0.9</f>
        <v>759.6</v>
      </c>
      <c r="EJ99" s="44">
        <f>SUM(AR99:AU99)</f>
        <v>0</v>
      </c>
      <c r="EK99" s="70"/>
      <c r="EL99" s="68"/>
      <c r="EM99" s="68"/>
      <c r="EN99" s="68"/>
      <c r="EO99" s="68"/>
      <c r="EP99" s="68"/>
      <c r="EQ99" s="68"/>
      <c r="ER99" s="68"/>
      <c r="ES99" s="68"/>
      <c r="ET99" s="68"/>
      <c r="EU99" s="44">
        <f t="shared" si="122"/>
        <v>0</v>
      </c>
      <c r="EV99" s="44">
        <f t="shared" si="114"/>
        <v>0</v>
      </c>
      <c r="EW99" s="44">
        <f t="shared" si="115"/>
        <v>0</v>
      </c>
      <c r="EX99" s="44">
        <f t="shared" si="116"/>
        <v>0</v>
      </c>
      <c r="EY99" s="44"/>
      <c r="EZ99" s="44"/>
      <c r="FA99" s="44"/>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1374</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c r="BV100" s="44"/>
      <c r="BW100" s="115"/>
      <c r="BX100" s="115">
        <v>26</v>
      </c>
      <c r="BY100" s="115"/>
      <c r="BZ100" s="44"/>
      <c r="CA100" s="44"/>
      <c r="CB100" s="44">
        <v>33</v>
      </c>
      <c r="CC100" s="44">
        <v>64</v>
      </c>
      <c r="CD100" s="44">
        <v>73</v>
      </c>
      <c r="CE100" s="44">
        <v>67</v>
      </c>
      <c r="CF100" s="44">
        <v>74</v>
      </c>
      <c r="CG100" s="44">
        <v>77</v>
      </c>
      <c r="CH100" s="44">
        <v>82</v>
      </c>
      <c r="CI100" s="44">
        <v>76</v>
      </c>
      <c r="CJ100" s="44">
        <v>81</v>
      </c>
      <c r="CK100" s="44">
        <v>38</v>
      </c>
      <c r="CL100" s="44">
        <v>47</v>
      </c>
      <c r="CM100" s="44">
        <v>31</v>
      </c>
      <c r="CN100" s="115">
        <v>35</v>
      </c>
      <c r="CO100" s="115">
        <v>28</v>
      </c>
      <c r="CP100" s="115">
        <v>35</v>
      </c>
      <c r="CQ100" s="115">
        <v>31</v>
      </c>
      <c r="CR100" s="115">
        <v>31</v>
      </c>
      <c r="CS100" s="115">
        <v>27</v>
      </c>
      <c r="CT100" s="115">
        <v>31</v>
      </c>
      <c r="CU100" s="115">
        <v>26</v>
      </c>
      <c r="CV100" s="115">
        <v>29</v>
      </c>
      <c r="CW100" s="115">
        <v>30</v>
      </c>
      <c r="CX100" s="115">
        <v>31</v>
      </c>
      <c r="CY100" s="115">
        <v>25</v>
      </c>
      <c r="CZ100" s="115">
        <v>25</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2"/>
        <v>129</v>
      </c>
      <c r="EV100" s="44">
        <f t="shared" si="114"/>
        <v>120</v>
      </c>
      <c r="EW100" s="44">
        <f t="shared" si="115"/>
        <v>116</v>
      </c>
      <c r="EX100" s="44">
        <f t="shared" si="116"/>
        <v>50</v>
      </c>
      <c r="EY100" s="44"/>
      <c r="EZ100" s="44"/>
      <c r="FA100" s="44"/>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1359</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v>50</v>
      </c>
      <c r="BV101" s="44">
        <v>68</v>
      </c>
      <c r="BW101" s="115">
        <v>21</v>
      </c>
      <c r="BX101" s="115"/>
      <c r="BY101" s="115">
        <v>75</v>
      </c>
      <c r="BZ101" s="44">
        <v>99</v>
      </c>
      <c r="CA101" s="44">
        <v>117</v>
      </c>
      <c r="CB101" s="44">
        <v>65</v>
      </c>
      <c r="CC101" s="44">
        <v>72</v>
      </c>
      <c r="CD101" s="44">
        <v>67</v>
      </c>
      <c r="CE101" s="44">
        <v>73</v>
      </c>
      <c r="CF101" s="44">
        <v>66</v>
      </c>
      <c r="CG101" s="44">
        <v>85</v>
      </c>
      <c r="CH101" s="44">
        <v>69</v>
      </c>
      <c r="CI101" s="44">
        <v>83</v>
      </c>
      <c r="CJ101" s="44">
        <v>77</v>
      </c>
      <c r="CK101" s="44">
        <v>21</v>
      </c>
      <c r="CL101" s="44">
        <v>25</v>
      </c>
      <c r="CM101" s="44">
        <v>77</v>
      </c>
      <c r="CN101" s="115">
        <v>138</v>
      </c>
      <c r="CO101" s="115">
        <v>16</v>
      </c>
      <c r="CP101" s="115">
        <v>19</v>
      </c>
      <c r="CQ101" s="115">
        <v>86</v>
      </c>
      <c r="CR101" s="115">
        <v>75</v>
      </c>
      <c r="CS101" s="115">
        <v>8</v>
      </c>
      <c r="CT101" s="115">
        <v>3</v>
      </c>
      <c r="CU101" s="115">
        <v>49</v>
      </c>
      <c r="CV101" s="115">
        <v>46</v>
      </c>
      <c r="CW101" s="115">
        <v>10</v>
      </c>
      <c r="CX101" s="115">
        <v>19</v>
      </c>
      <c r="CY101" s="115">
        <v>29</v>
      </c>
      <c r="CZ101" s="115">
        <v>49.4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2"/>
        <v>250</v>
      </c>
      <c r="EV101" s="44">
        <f t="shared" si="114"/>
        <v>172</v>
      </c>
      <c r="EW101" s="44">
        <f t="shared" si="115"/>
        <v>124</v>
      </c>
      <c r="EX101" s="44">
        <f t="shared" si="116"/>
        <v>78.400000000000006</v>
      </c>
      <c r="EY101" s="44"/>
      <c r="EZ101" s="44"/>
      <c r="FA101" s="44"/>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s="9" customFormat="1">
      <c r="B102" s="14" t="s">
        <v>1376</v>
      </c>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8"/>
      <c r="AF102" s="68"/>
      <c r="AG102" s="68"/>
      <c r="AH102" s="68"/>
      <c r="AI102" s="74"/>
      <c r="AJ102" s="47"/>
      <c r="AK102" s="47"/>
      <c r="AL102" s="47"/>
      <c r="AM102" s="66"/>
      <c r="AN102" s="62"/>
      <c r="AO102" s="68"/>
      <c r="AP102" s="62"/>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16</v>
      </c>
      <c r="BX102" s="115"/>
      <c r="BY102" s="115"/>
      <c r="BZ102" s="44"/>
      <c r="CA102" s="44"/>
      <c r="CB102" s="44">
        <v>16</v>
      </c>
      <c r="CC102" s="44">
        <v>24</v>
      </c>
      <c r="CD102" s="44">
        <v>35</v>
      </c>
      <c r="CE102" s="44">
        <v>24</v>
      </c>
      <c r="CF102" s="44">
        <v>0</v>
      </c>
      <c r="CG102" s="44">
        <v>23</v>
      </c>
      <c r="CH102" s="44">
        <v>25</v>
      </c>
      <c r="CI102" s="44">
        <v>11</v>
      </c>
      <c r="CJ102" s="44">
        <v>0</v>
      </c>
      <c r="CK102" s="44">
        <v>14</v>
      </c>
      <c r="CL102" s="44">
        <v>9</v>
      </c>
      <c r="CM102" s="44">
        <v>25</v>
      </c>
      <c r="CN102" s="115">
        <v>34</v>
      </c>
      <c r="CO102" s="115">
        <v>15</v>
      </c>
      <c r="CP102" s="115">
        <v>5</v>
      </c>
      <c r="CQ102" s="115">
        <v>22</v>
      </c>
      <c r="CR102" s="115">
        <v>26</v>
      </c>
      <c r="CS102" s="115">
        <v>35</v>
      </c>
      <c r="CT102" s="115">
        <v>38</v>
      </c>
      <c r="CU102" s="115">
        <v>31</v>
      </c>
      <c r="CV102" s="115">
        <v>33</v>
      </c>
      <c r="CW102" s="115">
        <v>28</v>
      </c>
      <c r="CX102" s="115">
        <v>41</v>
      </c>
      <c r="CY102" s="115">
        <v>35</v>
      </c>
      <c r="CZ102" s="115">
        <v>25.4</v>
      </c>
      <c r="DA102" s="115"/>
      <c r="DB102" s="115"/>
      <c r="DC102" s="115"/>
      <c r="DD102" s="115"/>
      <c r="DE102" s="115"/>
      <c r="DF102" s="115"/>
      <c r="DG102" s="115"/>
      <c r="DH102" s="115"/>
      <c r="DI102" s="115"/>
      <c r="DJ102" s="115"/>
      <c r="DK102" s="115"/>
      <c r="DL102" s="115"/>
      <c r="DM102" s="115"/>
      <c r="DN102" s="115"/>
      <c r="DO102" s="115"/>
      <c r="DP102" s="44"/>
      <c r="DQ102" s="44"/>
      <c r="DR102" s="14"/>
      <c r="DS102" s="14"/>
      <c r="DT102" s="14"/>
      <c r="DU102" s="68"/>
      <c r="DV102" s="68"/>
      <c r="DW102" s="68"/>
      <c r="DX102" s="68"/>
      <c r="DY102" s="68"/>
      <c r="DZ102" s="68"/>
      <c r="EA102" s="68"/>
      <c r="EB102" s="68"/>
      <c r="EC102" s="68"/>
      <c r="ED102" s="68"/>
      <c r="EE102" s="68"/>
      <c r="EF102" s="68"/>
      <c r="EG102" s="68"/>
      <c r="EH102" s="68"/>
      <c r="EI102" s="68"/>
      <c r="EJ102" s="44"/>
      <c r="EK102" s="70"/>
      <c r="EL102" s="68"/>
      <c r="EM102" s="68"/>
      <c r="EN102" s="68"/>
      <c r="EO102" s="68"/>
      <c r="EP102" s="68"/>
      <c r="EQ102" s="68"/>
      <c r="ER102" s="68"/>
      <c r="ES102" s="68"/>
      <c r="ET102" s="68"/>
      <c r="EU102" s="44">
        <f t="shared" si="122"/>
        <v>79</v>
      </c>
      <c r="EV102" s="44">
        <f t="shared" si="114"/>
        <v>121</v>
      </c>
      <c r="EW102" s="44">
        <f t="shared" si="115"/>
        <v>133</v>
      </c>
      <c r="EX102" s="44">
        <f t="shared" si="116"/>
        <v>60.4</v>
      </c>
      <c r="EY102" s="44"/>
      <c r="EZ102" s="44"/>
      <c r="FA102" s="44"/>
      <c r="FB102" s="68"/>
      <c r="FC102" s="68"/>
      <c r="FD102" s="68"/>
      <c r="FE102" s="68"/>
      <c r="FF102" s="68"/>
      <c r="FG102" s="68"/>
      <c r="FH102" s="68"/>
      <c r="FI102" s="68"/>
      <c r="FJ102" s="68"/>
      <c r="FK102" s="68"/>
      <c r="FL102" s="68"/>
      <c r="FM102" s="68"/>
      <c r="FN102" s="68"/>
      <c r="FO102" s="68"/>
      <c r="FP102" s="68"/>
      <c r="FQ102" s="83"/>
      <c r="FR102" s="68"/>
      <c r="FS102" s="84"/>
      <c r="FT102" s="68"/>
      <c r="FU102" s="14"/>
    </row>
    <row r="103" spans="2:177">
      <c r="B103" s="4" t="s">
        <v>763</v>
      </c>
      <c r="W103" s="44"/>
      <c r="X103" s="44"/>
      <c r="Y103" s="44"/>
      <c r="Z103" s="44"/>
      <c r="AA103" s="44"/>
      <c r="AB103" s="44"/>
      <c r="AC103" s="44"/>
      <c r="AD103" s="44"/>
      <c r="AE103" s="44"/>
      <c r="AF103" s="44"/>
      <c r="AG103" s="44"/>
      <c r="AH103" s="44">
        <f>453-189-90-49</f>
        <v>125</v>
      </c>
      <c r="AI103" s="68">
        <f>479-212-90-55</f>
        <v>122</v>
      </c>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c r="BV103" s="44"/>
      <c r="BW103" s="115">
        <v>49</v>
      </c>
      <c r="BX103" s="115"/>
      <c r="BY103" s="115"/>
      <c r="BZ103" s="44"/>
      <c r="CA103" s="44"/>
      <c r="CB103" s="44">
        <v>57</v>
      </c>
      <c r="CC103" s="44">
        <v>15</v>
      </c>
      <c r="CD103" s="44">
        <v>15</v>
      </c>
      <c r="CE103" s="44">
        <v>14</v>
      </c>
      <c r="CF103" s="44">
        <v>14</v>
      </c>
      <c r="CG103" s="44">
        <v>26</v>
      </c>
      <c r="CH103" s="44">
        <v>39</v>
      </c>
      <c r="CI103" s="44">
        <v>57</v>
      </c>
      <c r="CJ103" s="44">
        <v>53</v>
      </c>
      <c r="CK103" s="44">
        <v>101</v>
      </c>
      <c r="CL103" s="44">
        <v>104</v>
      </c>
      <c r="CM103" s="44">
        <v>122</v>
      </c>
      <c r="CN103" s="115">
        <v>140</v>
      </c>
      <c r="CO103" s="115">
        <v>194</v>
      </c>
      <c r="CP103" s="115">
        <v>166</v>
      </c>
      <c r="CQ103" s="115">
        <v>192</v>
      </c>
      <c r="CR103" s="115">
        <v>221</v>
      </c>
      <c r="CS103" s="115">
        <v>69</v>
      </c>
      <c r="CT103" s="115">
        <v>32</v>
      </c>
      <c r="CU103" s="115">
        <v>41</v>
      </c>
      <c r="CV103" s="115">
        <v>60</v>
      </c>
      <c r="CW103" s="115">
        <v>98</v>
      </c>
      <c r="CX103" s="115">
        <v>83</v>
      </c>
      <c r="CY103" s="115">
        <v>81</v>
      </c>
      <c r="CZ103" s="115">
        <v>82.4</v>
      </c>
      <c r="DA103" s="115">
        <v>80</v>
      </c>
      <c r="DB103" s="115">
        <v>113</v>
      </c>
      <c r="DC103" s="115">
        <v>467</v>
      </c>
      <c r="DD103" s="115">
        <f>102-DD51</f>
        <v>90</v>
      </c>
      <c r="DE103" s="115">
        <v>110</v>
      </c>
      <c r="DF103" s="115">
        <v>129</v>
      </c>
      <c r="DG103" s="115">
        <v>397</v>
      </c>
      <c r="DH103" s="115">
        <v>457</v>
      </c>
      <c r="DI103" s="115">
        <v>453</v>
      </c>
      <c r="DJ103" s="115">
        <v>440</v>
      </c>
      <c r="DK103" s="115">
        <f t="shared" ref="DK103:DK106" si="123">+DG103</f>
        <v>397</v>
      </c>
      <c r="DL103" s="115">
        <f t="shared" ref="DL103:DL106" si="124">+DH103</f>
        <v>457</v>
      </c>
      <c r="DM103" s="115">
        <f t="shared" ref="DM103:DM106" si="125">+DI103</f>
        <v>453</v>
      </c>
      <c r="DN103" s="115">
        <f t="shared" ref="DN103:DN106" si="126">+DJ103</f>
        <v>440</v>
      </c>
      <c r="DO103" s="115"/>
      <c r="DP103" s="44"/>
      <c r="DQ103" s="44"/>
      <c r="DU103" s="44"/>
      <c r="DV103" s="44"/>
      <c r="DW103" s="44"/>
      <c r="DX103" s="44"/>
      <c r="DY103" s="44"/>
      <c r="DZ103" s="44"/>
      <c r="EA103" s="44"/>
      <c r="EB103" s="44"/>
      <c r="EC103" s="44"/>
      <c r="ED103" s="44"/>
      <c r="EE103" s="44"/>
      <c r="EF103" s="44">
        <v>460</v>
      </c>
      <c r="EG103" s="44">
        <v>472</v>
      </c>
      <c r="EH103" s="44">
        <v>437</v>
      </c>
      <c r="EI103" s="44">
        <f>SUM(AQ103:AT103)</f>
        <v>0</v>
      </c>
      <c r="EJ103" s="44">
        <f>SUM(AR103:AU103)</f>
        <v>0</v>
      </c>
      <c r="EK103" s="65"/>
      <c r="EU103" s="44">
        <f t="shared" si="122"/>
        <v>622</v>
      </c>
      <c r="EV103" s="44">
        <f t="shared" si="114"/>
        <v>514</v>
      </c>
      <c r="EW103" s="44">
        <f t="shared" si="115"/>
        <v>282</v>
      </c>
      <c r="EX103" s="44">
        <f t="shared" si="116"/>
        <v>356.4</v>
      </c>
      <c r="EY103" s="44">
        <f t="shared" ref="EY81:EY114" si="127">SUM(DC103:DF103)</f>
        <v>796</v>
      </c>
      <c r="EZ103" s="44">
        <f t="shared" ref="EZ68:EZ114" si="128">SUM(DG103:DJ103)</f>
        <v>1747</v>
      </c>
      <c r="FA103" s="44">
        <f t="shared" ref="FA68:FA107" si="129">SUM(DK103:DN103)</f>
        <v>1747</v>
      </c>
      <c r="FB103" s="68">
        <f t="shared" ref="EZ103:FK103" si="130">+FA103*0.9</f>
        <v>1572.3</v>
      </c>
      <c r="FC103" s="68">
        <f t="shared" si="130"/>
        <v>1415.07</v>
      </c>
      <c r="FD103" s="68">
        <f t="shared" si="130"/>
        <v>1273.5629999999999</v>
      </c>
      <c r="FE103" s="68">
        <f t="shared" si="130"/>
        <v>1146.2067</v>
      </c>
      <c r="FF103" s="68">
        <f t="shared" si="130"/>
        <v>1031.5860299999999</v>
      </c>
      <c r="FG103" s="68">
        <f t="shared" si="130"/>
        <v>928.42742699999997</v>
      </c>
      <c r="FH103" s="68">
        <f t="shared" si="130"/>
        <v>835.58468429999994</v>
      </c>
      <c r="FI103" s="68">
        <f t="shared" si="130"/>
        <v>752.02621586999999</v>
      </c>
      <c r="FJ103" s="68">
        <f t="shared" si="130"/>
        <v>676.82359428300003</v>
      </c>
      <c r="FK103" s="68">
        <f t="shared" si="130"/>
        <v>609.14123485470009</v>
      </c>
    </row>
    <row r="104" spans="2:177">
      <c r="B104" s="14" t="s">
        <v>1377</v>
      </c>
      <c r="W104" s="44"/>
      <c r="X104" s="44"/>
      <c r="Y104" s="44"/>
      <c r="Z104" s="44"/>
      <c r="AA104" s="44"/>
      <c r="AB104" s="44"/>
      <c r="AC104" s="44"/>
      <c r="AD104" s="44"/>
      <c r="AE104" s="44"/>
      <c r="AF104" s="44"/>
      <c r="AG104" s="44"/>
      <c r="AH104" s="44"/>
      <c r="AI104" s="68"/>
      <c r="AJ104" s="44"/>
      <c r="AK104" s="44"/>
      <c r="AL104" s="44"/>
      <c r="AM104" s="65"/>
      <c r="AN104" s="44"/>
      <c r="AO104" s="68"/>
      <c r="AP104" s="68"/>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v>121</v>
      </c>
      <c r="BV104" s="44">
        <v>83</v>
      </c>
      <c r="BW104" s="115">
        <v>111</v>
      </c>
      <c r="BX104" s="115">
        <v>133</v>
      </c>
      <c r="BY104" s="115">
        <v>116</v>
      </c>
      <c r="BZ104" s="44">
        <v>146</v>
      </c>
      <c r="CA104" s="44">
        <v>188</v>
      </c>
      <c r="CB104" s="44">
        <v>196</v>
      </c>
      <c r="CC104" s="44">
        <v>156</v>
      </c>
      <c r="CD104" s="44">
        <v>178</v>
      </c>
      <c r="CE104" s="44">
        <f>182+97</f>
        <v>279</v>
      </c>
      <c r="CF104" s="44">
        <v>171</v>
      </c>
      <c r="CG104" s="44">
        <v>161</v>
      </c>
      <c r="CH104" s="44">
        <v>192</v>
      </c>
      <c r="CI104" s="44">
        <v>171</v>
      </c>
      <c r="CJ104" s="44">
        <v>209</v>
      </c>
      <c r="CK104" s="44">
        <v>159</v>
      </c>
      <c r="CL104" s="44">
        <v>215</v>
      </c>
      <c r="CM104" s="44">
        <v>138</v>
      </c>
      <c r="CN104" s="115">
        <v>204</v>
      </c>
      <c r="CO104" s="115">
        <v>176</v>
      </c>
      <c r="CP104" s="115">
        <v>254</v>
      </c>
      <c r="CQ104" s="115">
        <v>158</v>
      </c>
      <c r="CR104" s="115">
        <v>224</v>
      </c>
      <c r="CS104" s="115">
        <v>242</v>
      </c>
      <c r="CT104" s="115">
        <v>308</v>
      </c>
      <c r="CU104" s="115">
        <v>391</v>
      </c>
      <c r="CV104" s="115">
        <v>437</v>
      </c>
      <c r="CW104" s="115">
        <v>521</v>
      </c>
      <c r="CX104" s="115">
        <v>382</v>
      </c>
      <c r="CY104" s="115">
        <v>338</v>
      </c>
      <c r="CZ104" s="115">
        <v>317.39999999999998</v>
      </c>
      <c r="DA104" s="115">
        <v>319</v>
      </c>
      <c r="DB104" s="115">
        <v>368</v>
      </c>
      <c r="DC104" s="115">
        <f>308+4</f>
        <v>312</v>
      </c>
      <c r="DD104" s="115">
        <v>316</v>
      </c>
      <c r="DE104" s="115">
        <v>302</v>
      </c>
      <c r="DF104" s="115">
        <v>382</v>
      </c>
      <c r="DG104" s="115">
        <f>258+17</f>
        <v>275</v>
      </c>
      <c r="DH104" s="115">
        <f>278</f>
        <v>278</v>
      </c>
      <c r="DI104" s="115">
        <f>285+25</f>
        <v>310</v>
      </c>
      <c r="DJ104" s="115">
        <f>325+26</f>
        <v>351</v>
      </c>
      <c r="DK104" s="115">
        <f t="shared" si="123"/>
        <v>275</v>
      </c>
      <c r="DL104" s="115">
        <f t="shared" si="124"/>
        <v>278</v>
      </c>
      <c r="DM104" s="115">
        <f t="shared" si="125"/>
        <v>310</v>
      </c>
      <c r="DN104" s="115">
        <f t="shared" si="126"/>
        <v>351</v>
      </c>
      <c r="DO104" s="115"/>
      <c r="DP104" s="44"/>
      <c r="DQ104" s="44"/>
      <c r="DU104" s="44"/>
      <c r="DV104" s="44"/>
      <c r="DW104" s="44"/>
      <c r="DX104" s="44"/>
      <c r="DY104" s="44"/>
      <c r="DZ104" s="44"/>
      <c r="EA104" s="44"/>
      <c r="EB104" s="44"/>
      <c r="EC104" s="44"/>
      <c r="ED104" s="44"/>
      <c r="EE104" s="44"/>
      <c r="EF104" s="44"/>
      <c r="EG104" s="44"/>
      <c r="EH104" s="44"/>
      <c r="EI104" s="44"/>
      <c r="EJ104" s="44"/>
      <c r="EK104" s="65"/>
      <c r="EU104" s="44">
        <f t="shared" si="122"/>
        <v>772</v>
      </c>
      <c r="EV104" s="44">
        <f t="shared" si="114"/>
        <v>932</v>
      </c>
      <c r="EW104" s="44">
        <f t="shared" si="115"/>
        <v>1731</v>
      </c>
      <c r="EX104" s="44">
        <f t="shared" si="116"/>
        <v>1342.4</v>
      </c>
      <c r="EY104" s="44">
        <f t="shared" si="127"/>
        <v>1312</v>
      </c>
      <c r="EZ104" s="44">
        <f t="shared" si="128"/>
        <v>1214</v>
      </c>
      <c r="FA104" s="44">
        <f t="shared" si="129"/>
        <v>1214</v>
      </c>
      <c r="FB104" s="68">
        <f t="shared" ref="EZ104:FK104" si="131">+FA104*0.9</f>
        <v>1092.6000000000001</v>
      </c>
      <c r="FC104" s="68">
        <f t="shared" si="131"/>
        <v>983.34000000000015</v>
      </c>
      <c r="FD104" s="68">
        <f t="shared" si="131"/>
        <v>885.0060000000002</v>
      </c>
      <c r="FE104" s="68">
        <f t="shared" si="131"/>
        <v>796.50540000000024</v>
      </c>
      <c r="FF104" s="68">
        <f t="shared" si="131"/>
        <v>716.85486000000026</v>
      </c>
      <c r="FG104" s="68">
        <f t="shared" si="131"/>
        <v>645.16937400000029</v>
      </c>
      <c r="FH104" s="68">
        <f t="shared" si="131"/>
        <v>580.65243660000033</v>
      </c>
      <c r="FI104" s="68">
        <f t="shared" si="131"/>
        <v>522.58719294000036</v>
      </c>
      <c r="FJ104" s="68">
        <f t="shared" si="131"/>
        <v>470.32847364600036</v>
      </c>
      <c r="FK104" s="68">
        <f t="shared" si="131"/>
        <v>423.29562628140036</v>
      </c>
    </row>
    <row r="105" spans="2:177">
      <c r="B105" s="4" t="s">
        <v>759</v>
      </c>
      <c r="W105" s="44">
        <v>159</v>
      </c>
      <c r="X105" s="44">
        <v>147</v>
      </c>
      <c r="Y105" s="44">
        <v>158</v>
      </c>
      <c r="Z105" s="44">
        <v>146</v>
      </c>
      <c r="AA105" s="44">
        <v>153</v>
      </c>
      <c r="AB105" s="44">
        <v>179</v>
      </c>
      <c r="AC105" s="44">
        <v>243</v>
      </c>
      <c r="AD105" s="44">
        <v>281</v>
      </c>
      <c r="AE105" s="44">
        <v>303</v>
      </c>
      <c r="AF105" s="44">
        <v>289</v>
      </c>
      <c r="AG105" s="44">
        <v>270</v>
      </c>
      <c r="AH105" s="44">
        <f>1339-675-135-139-83</f>
        <v>307</v>
      </c>
      <c r="AI105" s="68">
        <f>1482-797-143-88-138</f>
        <v>316</v>
      </c>
      <c r="AJ105" s="44">
        <v>304</v>
      </c>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115"/>
      <c r="BT105" s="44"/>
      <c r="BU105" s="44"/>
      <c r="BV105" s="44"/>
      <c r="BW105" s="115"/>
      <c r="BX105" s="115"/>
      <c r="BY105" s="115"/>
      <c r="BZ105" s="44"/>
      <c r="CA105" s="44"/>
      <c r="CB105" s="44"/>
      <c r="CC105" s="44"/>
      <c r="CD105" s="44"/>
      <c r="CE105" s="44"/>
      <c r="CF105" s="44">
        <v>31</v>
      </c>
      <c r="CG105" s="44"/>
      <c r="CH105" s="44"/>
      <c r="CI105" s="44"/>
      <c r="CJ105" s="44">
        <v>11</v>
      </c>
      <c r="CK105" s="44">
        <v>300</v>
      </c>
      <c r="CL105" s="44">
        <v>252</v>
      </c>
      <c r="CM105" s="44">
        <v>405</v>
      </c>
      <c r="CN105" s="115">
        <v>420</v>
      </c>
      <c r="CO105" s="115">
        <v>335</v>
      </c>
      <c r="CP105" s="115">
        <v>292</v>
      </c>
      <c r="CQ105" s="115">
        <v>444</v>
      </c>
      <c r="CR105" s="115">
        <v>367</v>
      </c>
      <c r="CS105" s="115">
        <v>301</v>
      </c>
      <c r="CT105" s="115">
        <v>358</v>
      </c>
      <c r="CU105" s="115">
        <v>455</v>
      </c>
      <c r="CV105" s="115">
        <v>474</v>
      </c>
      <c r="CW105" s="115">
        <v>355</v>
      </c>
      <c r="CX105" s="115">
        <v>372</v>
      </c>
      <c r="CY105" s="115">
        <v>380.8</v>
      </c>
      <c r="CZ105" s="115">
        <v>367.4</v>
      </c>
      <c r="DA105" s="115">
        <v>374</v>
      </c>
      <c r="DB105" s="115">
        <v>348</v>
      </c>
      <c r="DC105" s="115">
        <v>188</v>
      </c>
      <c r="DD105" s="115">
        <v>269</v>
      </c>
      <c r="DE105" s="115">
        <v>270</v>
      </c>
      <c r="DF105" s="115">
        <v>272</v>
      </c>
      <c r="DG105" s="115">
        <v>205</v>
      </c>
      <c r="DH105" s="115">
        <v>234</v>
      </c>
      <c r="DI105" s="115">
        <v>218</v>
      </c>
      <c r="DJ105" s="115">
        <v>250</v>
      </c>
      <c r="DK105" s="115">
        <f t="shared" si="123"/>
        <v>205</v>
      </c>
      <c r="DL105" s="115">
        <f t="shared" si="124"/>
        <v>234</v>
      </c>
      <c r="DM105" s="115">
        <f t="shared" si="125"/>
        <v>218</v>
      </c>
      <c r="DN105" s="115">
        <f t="shared" si="126"/>
        <v>250</v>
      </c>
      <c r="DO105" s="115"/>
      <c r="DP105" s="44"/>
      <c r="DQ105" s="44"/>
      <c r="DU105" s="44"/>
      <c r="DV105" s="44"/>
      <c r="DW105" s="44"/>
      <c r="DX105" s="44"/>
      <c r="DY105" s="44"/>
      <c r="DZ105" s="44"/>
      <c r="EA105" s="44"/>
      <c r="EB105" s="44"/>
      <c r="EC105" s="44"/>
      <c r="ED105" s="44">
        <v>609</v>
      </c>
      <c r="EE105" s="44">
        <v>856</v>
      </c>
      <c r="EF105" s="44">
        <v>1172</v>
      </c>
      <c r="EG105" s="44">
        <v>1232</v>
      </c>
      <c r="EH105" s="44">
        <v>1104</v>
      </c>
      <c r="EI105" s="44">
        <f>EH105*1.02</f>
        <v>1126.08</v>
      </c>
      <c r="EJ105" s="44">
        <f t="shared" ref="EJ105:EJ110" si="132">SUM(AR105:AU105)</f>
        <v>0</v>
      </c>
      <c r="EK105" s="70"/>
      <c r="EL105" s="68"/>
      <c r="EM105" s="68"/>
      <c r="EN105" s="68"/>
      <c r="EO105" s="68"/>
      <c r="EP105" s="68"/>
      <c r="EQ105" s="68"/>
      <c r="ER105" s="68"/>
      <c r="ES105" s="68"/>
      <c r="ET105" s="68"/>
      <c r="EU105" s="44">
        <f t="shared" si="122"/>
        <v>1452</v>
      </c>
      <c r="EV105" s="44">
        <f t="shared" si="114"/>
        <v>1470</v>
      </c>
      <c r="EW105" s="44">
        <f t="shared" si="115"/>
        <v>1656</v>
      </c>
      <c r="EX105" s="44">
        <f t="shared" si="116"/>
        <v>1470.2</v>
      </c>
      <c r="EY105" s="44">
        <f t="shared" si="127"/>
        <v>999</v>
      </c>
      <c r="EZ105" s="44">
        <f t="shared" si="128"/>
        <v>907</v>
      </c>
      <c r="FA105" s="44">
        <f t="shared" si="129"/>
        <v>907</v>
      </c>
      <c r="FB105" s="68">
        <f t="shared" ref="EZ105:FK105" si="133">+FA105*0.9</f>
        <v>816.30000000000007</v>
      </c>
      <c r="FC105" s="68">
        <f t="shared" si="133"/>
        <v>734.67000000000007</v>
      </c>
      <c r="FD105" s="68">
        <f t="shared" si="133"/>
        <v>661.20300000000009</v>
      </c>
      <c r="FE105" s="68">
        <f t="shared" si="133"/>
        <v>595.08270000000005</v>
      </c>
      <c r="FF105" s="68">
        <f t="shared" si="133"/>
        <v>535.57443000000001</v>
      </c>
      <c r="FG105" s="68">
        <f t="shared" si="133"/>
        <v>482.01698700000003</v>
      </c>
      <c r="FH105" s="68">
        <f t="shared" si="133"/>
        <v>433.81528830000002</v>
      </c>
      <c r="FI105" s="68">
        <f t="shared" si="133"/>
        <v>390.43375947000004</v>
      </c>
      <c r="FJ105" s="68">
        <f t="shared" si="133"/>
        <v>351.39038352300003</v>
      </c>
      <c r="FK105" s="68">
        <f t="shared" si="133"/>
        <v>316.25134517070001</v>
      </c>
      <c r="FL105" s="68"/>
      <c r="FM105" s="68"/>
      <c r="FN105" s="68"/>
      <c r="FO105" s="68"/>
      <c r="FP105" s="68"/>
      <c r="FQ105" s="83"/>
      <c r="FR105" s="68"/>
      <c r="FS105" s="84"/>
      <c r="FT105" s="68"/>
    </row>
    <row r="106" spans="2:177">
      <c r="B106" s="4" t="s">
        <v>764</v>
      </c>
      <c r="AA106" s="37">
        <v>10</v>
      </c>
      <c r="AB106" s="37">
        <v>48</v>
      </c>
      <c r="AC106" s="37">
        <v>80</v>
      </c>
      <c r="AD106" s="37">
        <v>75</v>
      </c>
      <c r="AE106" s="44">
        <v>68</v>
      </c>
      <c r="AF106" s="44">
        <v>78</v>
      </c>
      <c r="AG106" s="44">
        <v>70</v>
      </c>
      <c r="AH106" s="44">
        <f>57+981-349+245+265</f>
        <v>1199</v>
      </c>
      <c r="AI106" s="68">
        <f>242+133+1068-342+257-203</f>
        <v>1155</v>
      </c>
      <c r="AJ106" s="44"/>
      <c r="AK106" s="44">
        <f>213+921+874+262-200+507-229-86-63+629-386-231+1073-402-157-106-103+545-446+73+1590-807-155-148-101-85-80-67+4467-2897-1131-132-77-48-73</f>
        <v>2944</v>
      </c>
      <c r="AL106" s="44">
        <f>1043-2+264+266-204+1+997+212+304+177+157+14+95</f>
        <v>3324</v>
      </c>
      <c r="AM106" s="65">
        <f>900+1104+246-197+187+268+149+134+13+99</f>
        <v>2903</v>
      </c>
      <c r="AN106" s="44">
        <f>1017+232-191+1+540-238-86-75-36+660-394-255+835-167-166-118-110+627-471+1643-706-271-165-123-88-79-67+4769-3123-1158-139-80-69</f>
        <v>1949</v>
      </c>
      <c r="AO106" s="44">
        <f>1102+246-198+376-374+233+257+285+169+138+14+98</f>
        <v>2346</v>
      </c>
      <c r="AP106" s="68">
        <f>396-391+261-209+1127+282+200+277+197+142+14+135</f>
        <v>2431</v>
      </c>
      <c r="AQ106" s="68">
        <f>1164+307+245-201+366-360+286+265+151+135+14+171</f>
        <v>2543</v>
      </c>
      <c r="AR106" s="68">
        <f>347+1025+400-389+253-202+278+278+148+114+12+173</f>
        <v>2437</v>
      </c>
      <c r="AS106" s="68">
        <f>318+962+413-402+271-216-40+301+280+158+108+14+168</f>
        <v>2335</v>
      </c>
      <c r="AT106" s="68">
        <f>383+863+283-224+464-453-75+355+300+167+109+16+177</f>
        <v>2365</v>
      </c>
      <c r="AU106" s="68">
        <f>325+758+413-405+258-206-52+299+292+144+85+11+151</f>
        <v>2073</v>
      </c>
      <c r="AV106" s="70">
        <f>361+619-54+306+92+167+314+12+185+305-238+444-436</f>
        <v>2077</v>
      </c>
      <c r="AW106" s="44">
        <f>289+294-AW32+459-AW64+337+186+283+335+143+81+13+176</f>
        <v>1921</v>
      </c>
      <c r="AX106" s="44">
        <f>2052-AX80-AX81-AX83-AX68-AX96</f>
        <v>1591</v>
      </c>
      <c r="AY106" s="65">
        <f>252-197+531+413-407+228+333+279+124+75+24+131-22</f>
        <v>1764</v>
      </c>
      <c r="AZ106" s="44">
        <f>263-207+404-395+772-18+171+230+75+64+18+136</f>
        <v>1513</v>
      </c>
      <c r="BA106" s="44">
        <f>811+266+293-232+444-436-18+178+232+82+64+24+124</f>
        <v>1832</v>
      </c>
      <c r="BB106" s="44">
        <f>2787+122-17</f>
        <v>2892</v>
      </c>
      <c r="BC106" s="70">
        <f>2523+103</f>
        <v>2626</v>
      </c>
      <c r="BD106" s="44">
        <f>2604+64</f>
        <v>2668</v>
      </c>
      <c r="BE106" s="44">
        <f>76+1978-5</f>
        <v>2049</v>
      </c>
      <c r="BF106" s="65">
        <f>2375+77</f>
        <v>2452</v>
      </c>
      <c r="BG106" s="44">
        <f>2255+81-2</f>
        <v>2334</v>
      </c>
      <c r="BH106" s="65">
        <f>2454+75</f>
        <v>2529</v>
      </c>
      <c r="BI106" s="68">
        <f>1710+54</f>
        <v>1764</v>
      </c>
      <c r="BJ106" s="65">
        <v>1747</v>
      </c>
      <c r="BK106" s="65">
        <f>2037</f>
        <v>2037</v>
      </c>
      <c r="BL106" s="44">
        <f>1869+65</f>
        <v>1934</v>
      </c>
      <c r="BM106" s="44">
        <f>1643+62</f>
        <v>1705</v>
      </c>
      <c r="BN106" s="44">
        <f>2096+68</f>
        <v>2164</v>
      </c>
      <c r="BO106" s="44">
        <f>1878+53</f>
        <v>1931</v>
      </c>
      <c r="BP106" s="44">
        <f>1839+63</f>
        <v>1902</v>
      </c>
      <c r="BQ106" s="44">
        <f>1923+113-67</f>
        <v>1969</v>
      </c>
      <c r="BR106" s="44">
        <f>1855+135-65</f>
        <v>1925</v>
      </c>
      <c r="BS106" s="115">
        <f>1884+113-57</f>
        <v>1940</v>
      </c>
      <c r="BT106" s="44">
        <f>1802+134-71</f>
        <v>1865</v>
      </c>
      <c r="BU106" s="44">
        <f>105+50+1878+121</f>
        <v>2154</v>
      </c>
      <c r="BV106" s="44">
        <f>1377+127</f>
        <v>1504</v>
      </c>
      <c r="BW106" s="115">
        <f>1913-BW107-BW103-BW102-BW101-BW89-BW38-BW37+2</f>
        <v>1295</v>
      </c>
      <c r="BX106" s="115">
        <f>1780-BX100-BX90-BX107-3</f>
        <v>1302</v>
      </c>
      <c r="BY106" s="115">
        <f>98+1651+4</f>
        <v>1753</v>
      </c>
      <c r="BZ106" s="44">
        <f>1215+128+86+82</f>
        <v>1511</v>
      </c>
      <c r="CA106" s="44">
        <f>1201+76+171</f>
        <v>1448</v>
      </c>
      <c r="CB106" s="68">
        <f>1187+69+130</f>
        <v>1386</v>
      </c>
      <c r="CC106" s="44">
        <f>1268+68+128</f>
        <v>1464</v>
      </c>
      <c r="CD106" s="44">
        <f>117+1321+62</f>
        <v>1500</v>
      </c>
      <c r="CE106" s="68">
        <f>69+53+1321</f>
        <v>1443</v>
      </c>
      <c r="CF106" s="44">
        <f>1360+84</f>
        <v>1444</v>
      </c>
      <c r="CG106" s="44">
        <f>1237+55+75</f>
        <v>1367</v>
      </c>
      <c r="CH106" s="44">
        <f>84+1302+81</f>
        <v>1467</v>
      </c>
      <c r="CI106" s="44">
        <f>66+49+1203</f>
        <v>1318</v>
      </c>
      <c r="CJ106" s="44">
        <f>1220+79</f>
        <v>1299</v>
      </c>
      <c r="CK106" s="44">
        <f>411+727</f>
        <v>1138</v>
      </c>
      <c r="CL106" s="44">
        <f>673+761</f>
        <v>1434</v>
      </c>
      <c r="CM106" s="44">
        <f>523+559</f>
        <v>1082</v>
      </c>
      <c r="CN106" s="115">
        <f>544+587</f>
        <v>1131</v>
      </c>
      <c r="CO106" s="115">
        <f>379+597</f>
        <v>976</v>
      </c>
      <c r="CP106" s="115">
        <f>634+654</f>
        <v>1288</v>
      </c>
      <c r="CQ106" s="115">
        <f>480+492</f>
        <v>972</v>
      </c>
      <c r="CR106" s="115">
        <f>498+476</f>
        <v>974</v>
      </c>
      <c r="CS106" s="115">
        <v>411</v>
      </c>
      <c r="CT106" s="115">
        <v>453</v>
      </c>
      <c r="CU106" s="115">
        <v>484.3</v>
      </c>
      <c r="CV106" s="115">
        <v>482</v>
      </c>
      <c r="CW106" s="115">
        <v>426</v>
      </c>
      <c r="CX106" s="115">
        <v>416</v>
      </c>
      <c r="CY106" s="115">
        <v>422.8</v>
      </c>
      <c r="CZ106" s="115">
        <v>424.4</v>
      </c>
      <c r="DA106" s="115">
        <v>451.4</v>
      </c>
      <c r="DB106" s="115">
        <v>452</v>
      </c>
      <c r="DC106" s="115">
        <f t="shared" ref="DC106" si="134">+DB106</f>
        <v>452</v>
      </c>
      <c r="DD106" s="115">
        <v>463</v>
      </c>
      <c r="DE106" s="115">
        <v>452</v>
      </c>
      <c r="DF106" s="115">
        <v>457</v>
      </c>
      <c r="DG106" s="115">
        <v>770</v>
      </c>
      <c r="DH106" s="115">
        <v>651</v>
      </c>
      <c r="DI106" s="115">
        <v>652</v>
      </c>
      <c r="DJ106" s="115">
        <v>584</v>
      </c>
      <c r="DK106" s="115">
        <f>+DG106</f>
        <v>770</v>
      </c>
      <c r="DL106" s="115">
        <f t="shared" si="124"/>
        <v>651</v>
      </c>
      <c r="DM106" s="115">
        <f t="shared" si="125"/>
        <v>652</v>
      </c>
      <c r="DN106" s="115">
        <f t="shared" si="126"/>
        <v>584</v>
      </c>
      <c r="DO106" s="115"/>
      <c r="DP106" s="44"/>
      <c r="DQ106" s="44"/>
      <c r="DU106" s="44"/>
      <c r="DV106" s="44"/>
      <c r="DW106" s="44"/>
      <c r="DX106" s="44"/>
      <c r="DY106" s="44"/>
      <c r="DZ106" s="44"/>
      <c r="EA106" s="44"/>
      <c r="EB106" s="44"/>
      <c r="EC106" s="44"/>
      <c r="ED106" s="44">
        <v>6</v>
      </c>
      <c r="EE106" s="44">
        <f>1797+213</f>
        <v>2010</v>
      </c>
      <c r="EF106" s="44">
        <f>189+2390</f>
        <v>2579</v>
      </c>
      <c r="EG106" s="44">
        <f>1+241+2461</f>
        <v>2703</v>
      </c>
      <c r="EH106" s="44">
        <f>2600+8+190</f>
        <v>2798</v>
      </c>
      <c r="EI106" s="44">
        <f>EH106*1.03</f>
        <v>2881.94</v>
      </c>
      <c r="EJ106" s="44"/>
      <c r="EK106" s="65">
        <f>SUM(AY106:BB106)</f>
        <v>8001</v>
      </c>
      <c r="EL106" s="44">
        <f>SUM(BC106:BF106)</f>
        <v>9795</v>
      </c>
      <c r="EM106" s="44">
        <f>SUM(BG106:BJ106)</f>
        <v>8374</v>
      </c>
      <c r="EN106" s="44">
        <f>SUM(BK106:BN106)</f>
        <v>7840</v>
      </c>
      <c r="EO106" s="44">
        <f>SUM(BO106:BR106)</f>
        <v>7727</v>
      </c>
      <c r="EP106" s="44">
        <f>SUM(BS106:BV106)</f>
        <v>7463</v>
      </c>
      <c r="EQ106" s="44">
        <f t="shared" ref="EQ106:ET106" si="135">EP106*0.95</f>
        <v>7089.8499999999995</v>
      </c>
      <c r="ER106" s="44">
        <f t="shared" si="135"/>
        <v>6735.3574999999992</v>
      </c>
      <c r="ES106" s="44">
        <f t="shared" si="135"/>
        <v>6398.5896249999987</v>
      </c>
      <c r="ET106" s="44">
        <f t="shared" si="135"/>
        <v>6078.6601437499985</v>
      </c>
      <c r="EU106" s="44">
        <f t="shared" si="122"/>
        <v>4477</v>
      </c>
      <c r="EV106" s="44">
        <f t="shared" si="114"/>
        <v>2810</v>
      </c>
      <c r="EW106" s="44">
        <f t="shared" si="115"/>
        <v>1808.3</v>
      </c>
      <c r="EX106" s="44">
        <f t="shared" si="116"/>
        <v>1750.6</v>
      </c>
      <c r="EY106" s="44">
        <f t="shared" si="127"/>
        <v>1824</v>
      </c>
      <c r="EZ106" s="44">
        <f t="shared" si="128"/>
        <v>2657</v>
      </c>
      <c r="FA106" s="44">
        <f t="shared" si="129"/>
        <v>2657</v>
      </c>
      <c r="FB106" s="68">
        <f t="shared" ref="EZ106:FK106" si="136">+FA106*0.9</f>
        <v>2391.3000000000002</v>
      </c>
      <c r="FC106" s="68">
        <f t="shared" si="136"/>
        <v>2152.17</v>
      </c>
      <c r="FD106" s="68">
        <f t="shared" si="136"/>
        <v>1936.9530000000002</v>
      </c>
      <c r="FE106" s="68">
        <f t="shared" si="136"/>
        <v>1743.2577000000001</v>
      </c>
      <c r="FF106" s="68">
        <f t="shared" si="136"/>
        <v>1568.9319300000002</v>
      </c>
      <c r="FG106" s="68">
        <f t="shared" si="136"/>
        <v>1412.0387370000003</v>
      </c>
      <c r="FH106" s="68">
        <f t="shared" si="136"/>
        <v>1270.8348633000003</v>
      </c>
      <c r="FI106" s="68">
        <f t="shared" si="136"/>
        <v>1143.7513769700004</v>
      </c>
      <c r="FJ106" s="68">
        <f t="shared" si="136"/>
        <v>1029.3762392730005</v>
      </c>
      <c r="FK106" s="68">
        <f t="shared" si="136"/>
        <v>926.43861534570044</v>
      </c>
      <c r="FQ106" s="81">
        <f>EL106*0.4</f>
        <v>3918</v>
      </c>
      <c r="FR106" s="44">
        <f>EQ106*0.4</f>
        <v>2835.94</v>
      </c>
      <c r="FS106" s="82">
        <f>ER106*0.4</f>
        <v>2694.143</v>
      </c>
    </row>
    <row r="107" spans="2:177">
      <c r="B107" s="14" t="s">
        <v>1362</v>
      </c>
      <c r="W107" s="44"/>
      <c r="X107" s="44"/>
      <c r="Y107" s="44"/>
      <c r="Z107" s="44"/>
      <c r="AA107" s="44"/>
      <c r="AB107" s="44"/>
      <c r="AC107" s="44"/>
      <c r="AD107" s="44"/>
      <c r="AE107" s="44"/>
      <c r="AF107" s="44"/>
      <c r="AG107" s="44"/>
      <c r="AH107" s="44"/>
      <c r="AI107" s="68"/>
      <c r="AJ107" s="44"/>
      <c r="AL107" s="44"/>
      <c r="AM107" s="65"/>
      <c r="AO107" s="68"/>
      <c r="AP107" s="62"/>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v>495</v>
      </c>
      <c r="BW107" s="115">
        <v>396</v>
      </c>
      <c r="BX107" s="115">
        <v>407</v>
      </c>
      <c r="BY107" s="115">
        <v>330</v>
      </c>
      <c r="BZ107" s="44">
        <f>1139+310</f>
        <v>1449</v>
      </c>
      <c r="CA107" s="44">
        <f>1161+304</f>
        <v>1465</v>
      </c>
      <c r="CB107" s="44">
        <f>1136+295</f>
        <v>1431</v>
      </c>
      <c r="CC107" s="44">
        <f>1044+281</f>
        <v>1325</v>
      </c>
      <c r="CD107" s="44">
        <f>1069+279</f>
        <v>1348</v>
      </c>
      <c r="CE107" s="44">
        <v>1063</v>
      </c>
      <c r="CF107" s="44">
        <f>975+68</f>
        <v>1043</v>
      </c>
      <c r="CG107" s="44">
        <v>860</v>
      </c>
      <c r="CH107" s="44">
        <v>862</v>
      </c>
      <c r="CI107" s="44">
        <v>823</v>
      </c>
      <c r="CJ107" s="44">
        <f>815+59</f>
        <v>874</v>
      </c>
      <c r="CK107" s="44">
        <v>669</v>
      </c>
      <c r="CL107" s="44">
        <v>673</v>
      </c>
      <c r="CM107" s="44">
        <v>620</v>
      </c>
      <c r="CN107" s="115">
        <v>544</v>
      </c>
      <c r="CO107" s="115">
        <v>656</v>
      </c>
      <c r="CP107" s="115">
        <v>634</v>
      </c>
      <c r="CQ107" s="115">
        <v>684</v>
      </c>
      <c r="CR107" s="115">
        <v>603</v>
      </c>
      <c r="CS107" s="115">
        <v>529</v>
      </c>
      <c r="CT107" s="115">
        <v>695</v>
      </c>
      <c r="CU107" s="115">
        <v>700.3</v>
      </c>
      <c r="CV107" s="115">
        <v>613</v>
      </c>
      <c r="CW107" s="115">
        <v>577</v>
      </c>
      <c r="CX107" s="115">
        <v>597</v>
      </c>
      <c r="CY107" s="115">
        <v>582.79999999999995</v>
      </c>
      <c r="CZ107" s="115">
        <v>537.4</v>
      </c>
      <c r="DA107" s="115">
        <v>586.4</v>
      </c>
      <c r="DB107" s="115">
        <v>561</v>
      </c>
      <c r="DC107" s="115">
        <v>1197</v>
      </c>
      <c r="DD107" s="115">
        <v>606</v>
      </c>
      <c r="DE107" s="115">
        <v>527</v>
      </c>
      <c r="DF107" s="115">
        <v>558</v>
      </c>
      <c r="DG107" s="115">
        <v>1149</v>
      </c>
      <c r="DH107" s="115">
        <v>1114</v>
      </c>
      <c r="DI107" s="115">
        <v>1108</v>
      </c>
      <c r="DJ107" s="115">
        <v>1152</v>
      </c>
      <c r="DK107" s="115">
        <f>+DG107*0.98</f>
        <v>1126.02</v>
      </c>
      <c r="DL107" s="115">
        <f>+DH107*0.98</f>
        <v>1091.72</v>
      </c>
      <c r="DM107" s="115">
        <f>+DI107*0.98</f>
        <v>1085.8399999999999</v>
      </c>
      <c r="DN107" s="115">
        <f>+DJ107*0.98</f>
        <v>1128.96</v>
      </c>
      <c r="DO107" s="115"/>
      <c r="DP107" s="44"/>
      <c r="DQ107" s="44"/>
      <c r="DU107" s="44"/>
      <c r="DV107" s="44"/>
      <c r="DW107" s="44"/>
      <c r="DX107" s="44"/>
      <c r="DY107" s="44"/>
      <c r="DZ107" s="44"/>
      <c r="EA107" s="44"/>
      <c r="EB107" s="44"/>
      <c r="EC107" s="44"/>
      <c r="ED107" s="44"/>
      <c r="EE107" s="44"/>
      <c r="EF107" s="44"/>
      <c r="EG107" s="44"/>
      <c r="EH107" s="44"/>
      <c r="EI107" s="44"/>
      <c r="EJ107" s="44"/>
      <c r="EK107" s="70"/>
      <c r="EL107" s="68"/>
      <c r="EM107" s="68"/>
      <c r="EN107" s="68"/>
      <c r="EO107" s="68"/>
      <c r="EP107" s="68"/>
      <c r="EQ107" s="68"/>
      <c r="ER107" s="68"/>
      <c r="ES107" s="68"/>
      <c r="ET107" s="68"/>
      <c r="EU107" s="44">
        <f t="shared" si="122"/>
        <v>2454</v>
      </c>
      <c r="EV107" s="44">
        <f t="shared" si="114"/>
        <v>2511</v>
      </c>
      <c r="EW107" s="44">
        <f t="shared" si="115"/>
        <v>2487.3000000000002</v>
      </c>
      <c r="EX107" s="44">
        <f t="shared" si="116"/>
        <v>2267.6</v>
      </c>
      <c r="EY107" s="44">
        <f t="shared" si="127"/>
        <v>2888</v>
      </c>
      <c r="EZ107" s="44">
        <f t="shared" si="128"/>
        <v>4523</v>
      </c>
      <c r="FA107" s="44">
        <f t="shared" si="129"/>
        <v>4432.54</v>
      </c>
      <c r="FB107" s="68">
        <f t="shared" ref="FA107:FK107" si="137">+FA107*0.9</f>
        <v>3989.2860000000001</v>
      </c>
      <c r="FC107" s="68">
        <f t="shared" si="137"/>
        <v>3590.3574000000003</v>
      </c>
      <c r="FD107" s="68">
        <f t="shared" si="137"/>
        <v>3231.3216600000005</v>
      </c>
      <c r="FE107" s="68">
        <f t="shared" si="137"/>
        <v>2908.1894940000006</v>
      </c>
      <c r="FF107" s="68">
        <f t="shared" si="137"/>
        <v>2617.3705446000008</v>
      </c>
      <c r="FG107" s="68">
        <f t="shared" si="137"/>
        <v>2355.633490140001</v>
      </c>
      <c r="FH107" s="68">
        <f t="shared" si="137"/>
        <v>2120.0701411260011</v>
      </c>
      <c r="FI107" s="68">
        <f t="shared" si="137"/>
        <v>1908.0631270134011</v>
      </c>
      <c r="FJ107" s="68">
        <f t="shared" si="137"/>
        <v>1717.2568143120609</v>
      </c>
      <c r="FK107" s="68">
        <f t="shared" si="137"/>
        <v>1545.5311328808548</v>
      </c>
      <c r="FL107" s="68"/>
      <c r="FM107" s="68"/>
      <c r="FN107" s="68"/>
      <c r="FO107" s="68"/>
      <c r="FP107" s="68"/>
      <c r="FQ107" s="83"/>
      <c r="FR107" s="68"/>
      <c r="FS107" s="84"/>
      <c r="FT107" s="68"/>
    </row>
    <row r="108" spans="2:177">
      <c r="B108" s="4" t="s">
        <v>760</v>
      </c>
      <c r="W108" s="44">
        <v>64</v>
      </c>
      <c r="X108" s="44">
        <v>50</v>
      </c>
      <c r="Y108" s="44">
        <v>72</v>
      </c>
      <c r="Z108" s="44">
        <v>55</v>
      </c>
      <c r="AA108" s="44">
        <v>89</v>
      </c>
      <c r="AB108" s="44">
        <v>119</v>
      </c>
      <c r="AC108" s="44">
        <v>141</v>
      </c>
      <c r="AD108" s="44">
        <v>155</v>
      </c>
      <c r="AE108" s="44">
        <v>137</v>
      </c>
      <c r="AF108" s="44">
        <v>143</v>
      </c>
      <c r="AG108" s="44">
        <v>153</v>
      </c>
      <c r="AH108" s="44">
        <f>1607-1008-417</f>
        <v>182</v>
      </c>
      <c r="AI108" s="68">
        <f>637-411-56</f>
        <v>170</v>
      </c>
      <c r="AJ108" s="44">
        <v>45</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241</v>
      </c>
      <c r="EE108" s="44">
        <v>504</v>
      </c>
      <c r="EF108" s="44">
        <v>1910</v>
      </c>
      <c r="EG108" s="44">
        <v>656</v>
      </c>
      <c r="EH108" s="44">
        <v>672</v>
      </c>
      <c r="EI108" s="44">
        <f>SUM(AQ108:AT108)</f>
        <v>0</v>
      </c>
      <c r="EJ108" s="44">
        <f t="shared" si="132"/>
        <v>0</v>
      </c>
      <c r="EK108" s="65"/>
      <c r="EU108" s="44">
        <f t="shared" si="122"/>
        <v>0</v>
      </c>
    </row>
    <row r="109" spans="2:177">
      <c r="B109" s="4" t="s">
        <v>761</v>
      </c>
      <c r="W109" s="47">
        <v>111</v>
      </c>
      <c r="X109" s="47">
        <v>108</v>
      </c>
      <c r="Y109" s="47">
        <v>134</v>
      </c>
      <c r="Z109" s="47">
        <v>140</v>
      </c>
      <c r="AA109" s="47">
        <v>96</v>
      </c>
      <c r="AB109" s="47">
        <v>152</v>
      </c>
      <c r="AC109" s="47">
        <v>209</v>
      </c>
      <c r="AD109" s="47">
        <v>208</v>
      </c>
      <c r="AE109" s="47">
        <v>166</v>
      </c>
      <c r="AF109" s="47">
        <v>157</v>
      </c>
      <c r="AG109" s="47">
        <v>175</v>
      </c>
      <c r="AH109" s="47">
        <f>2020-959-143-11-481-106-87-54</f>
        <v>179</v>
      </c>
      <c r="AI109" s="74">
        <f>1591-845-20-138-182-85-102-53</f>
        <v>166</v>
      </c>
      <c r="AJ109" s="47">
        <v>157</v>
      </c>
      <c r="AK109" s="47"/>
      <c r="AL109" s="47"/>
      <c r="AM109" s="66"/>
      <c r="AN109" s="47"/>
      <c r="AO109" s="68"/>
      <c r="AP109" s="74"/>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ED109" s="37">
        <v>493</v>
      </c>
      <c r="EE109" s="47">
        <v>628</v>
      </c>
      <c r="EF109" s="47">
        <v>674</v>
      </c>
      <c r="EG109" s="47">
        <v>628</v>
      </c>
      <c r="EH109" s="47">
        <v>558</v>
      </c>
      <c r="EI109" s="44">
        <f>SUM(AQ109:AT109)</f>
        <v>0</v>
      </c>
      <c r="EJ109" s="44">
        <f t="shared" si="132"/>
        <v>0</v>
      </c>
      <c r="EK109" s="65"/>
      <c r="EU109" s="44">
        <f t="shared" si="122"/>
        <v>0</v>
      </c>
    </row>
    <row r="110" spans="2:177">
      <c r="B110" s="4" t="s">
        <v>762</v>
      </c>
      <c r="W110" s="44">
        <v>80</v>
      </c>
      <c r="X110" s="44">
        <v>94</v>
      </c>
      <c r="Y110" s="44">
        <v>104</v>
      </c>
      <c r="Z110" s="44">
        <v>61</v>
      </c>
      <c r="AA110" s="44">
        <v>0</v>
      </c>
      <c r="AB110" s="44">
        <v>8</v>
      </c>
      <c r="AC110" s="44">
        <v>14</v>
      </c>
      <c r="AD110" s="44">
        <v>14</v>
      </c>
      <c r="AE110" s="44">
        <v>14</v>
      </c>
      <c r="AF110" s="44">
        <v>12</v>
      </c>
      <c r="AG110" s="44">
        <v>13</v>
      </c>
      <c r="AH110" s="44">
        <f>769-469-285</f>
        <v>15</v>
      </c>
      <c r="AI110" s="68">
        <f>702-438-252</f>
        <v>12</v>
      </c>
      <c r="AJ110" s="44">
        <v>13</v>
      </c>
      <c r="AK110" s="44"/>
      <c r="AL110" s="44"/>
      <c r="AM110" s="65"/>
      <c r="AN110" s="44"/>
      <c r="AO110" s="68"/>
      <c r="AP110" s="68"/>
      <c r="AQ110" s="68"/>
      <c r="AR110" s="68"/>
      <c r="AS110" s="68"/>
      <c r="AT110" s="68"/>
      <c r="AU110" s="68"/>
      <c r="AV110" s="70"/>
      <c r="AW110" s="68"/>
      <c r="AX110" s="68"/>
      <c r="AY110" s="68"/>
      <c r="AZ110" s="68"/>
      <c r="BA110" s="68"/>
      <c r="BB110" s="44"/>
      <c r="BC110" s="65"/>
      <c r="BD110" s="44"/>
      <c r="BE110" s="44"/>
      <c r="BF110" s="65"/>
      <c r="BG110" s="44"/>
      <c r="BH110" s="65"/>
      <c r="BI110" s="44"/>
      <c r="BJ110" s="65"/>
      <c r="BK110" s="65"/>
      <c r="BL110" s="44"/>
      <c r="BM110" s="44"/>
      <c r="BN110" s="44"/>
      <c r="BO110" s="44"/>
      <c r="BP110" s="44"/>
      <c r="BQ110" s="44"/>
      <c r="BR110" s="44"/>
      <c r="BS110" s="115"/>
      <c r="BT110" s="44"/>
      <c r="BU110" s="44"/>
      <c r="BV110" s="44"/>
      <c r="BW110" s="115"/>
      <c r="BX110" s="115"/>
      <c r="BY110" s="115"/>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v>339</v>
      </c>
      <c r="EE110" s="44">
        <v>36</v>
      </c>
      <c r="EF110" s="44">
        <v>52</v>
      </c>
      <c r="EG110" s="44">
        <v>51</v>
      </c>
      <c r="EH110" s="44">
        <v>52</v>
      </c>
      <c r="EI110" s="44">
        <f>SUM(AQ110:AT110)</f>
        <v>0</v>
      </c>
      <c r="EJ110" s="44">
        <f t="shared" si="132"/>
        <v>0</v>
      </c>
      <c r="EK110" s="65"/>
      <c r="EU110" s="44">
        <f t="shared" si="122"/>
        <v>0</v>
      </c>
    </row>
    <row r="111" spans="2:177">
      <c r="B111" s="14" t="s">
        <v>765</v>
      </c>
      <c r="AE111" s="44"/>
      <c r="AF111" s="44"/>
      <c r="AG111" s="44"/>
      <c r="AH111" s="44"/>
      <c r="AI111" s="68"/>
      <c r="AJ111" s="44"/>
      <c r="AK111" s="68" t="s">
        <v>605</v>
      </c>
      <c r="AL111" s="68" t="s">
        <v>605</v>
      </c>
      <c r="AM111" s="68" t="s">
        <v>605</v>
      </c>
      <c r="AN111" s="68" t="s">
        <v>605</v>
      </c>
      <c r="AO111" s="68" t="s">
        <v>605</v>
      </c>
      <c r="AP111" s="68" t="s">
        <v>605</v>
      </c>
      <c r="AQ111" s="73" t="s">
        <v>766</v>
      </c>
      <c r="AR111" s="73" t="s">
        <v>655</v>
      </c>
      <c r="AS111" s="73" t="s">
        <v>645</v>
      </c>
      <c r="AT111" s="73" t="s">
        <v>767</v>
      </c>
      <c r="AU111" s="73" t="s">
        <v>768</v>
      </c>
      <c r="AV111" s="75" t="s">
        <v>769</v>
      </c>
      <c r="AW111" s="73" t="s">
        <v>645</v>
      </c>
      <c r="AY111" s="75" t="s">
        <v>770</v>
      </c>
      <c r="AZ111" s="73" t="s">
        <v>771</v>
      </c>
      <c r="BA111" s="73" t="s">
        <v>771</v>
      </c>
      <c r="BB111" s="44">
        <v>494</v>
      </c>
      <c r="BC111" s="65">
        <v>663</v>
      </c>
      <c r="BD111" s="44">
        <v>678</v>
      </c>
      <c r="BE111" s="44">
        <v>673</v>
      </c>
      <c r="BF111" s="65">
        <v>758</v>
      </c>
      <c r="BG111" s="44">
        <v>745</v>
      </c>
      <c r="BH111" s="65">
        <v>721</v>
      </c>
      <c r="BI111" s="44">
        <v>774</v>
      </c>
      <c r="BJ111" s="65">
        <v>817</v>
      </c>
      <c r="BK111" s="70">
        <v>735</v>
      </c>
      <c r="BL111" s="44">
        <v>768</v>
      </c>
      <c r="BM111" s="44">
        <v>780</v>
      </c>
      <c r="BN111" s="44">
        <v>936</v>
      </c>
      <c r="BO111" s="44">
        <v>811</v>
      </c>
      <c r="BP111" s="44">
        <v>800</v>
      </c>
      <c r="BQ111" s="44">
        <v>788</v>
      </c>
      <c r="BR111" s="44">
        <v>943</v>
      </c>
      <c r="BS111" s="115">
        <v>761</v>
      </c>
      <c r="BT111" s="44">
        <v>912</v>
      </c>
      <c r="BU111" s="44">
        <v>821</v>
      </c>
      <c r="BV111" s="44">
        <v>953</v>
      </c>
      <c r="BW111" s="115">
        <v>808</v>
      </c>
      <c r="BX111" s="115">
        <v>840</v>
      </c>
      <c r="BY111" s="115">
        <v>817</v>
      </c>
      <c r="BZ111" s="44">
        <v>930</v>
      </c>
      <c r="CA111" s="44">
        <v>822</v>
      </c>
      <c r="CB111" s="44">
        <v>837</v>
      </c>
      <c r="CC111" s="44">
        <v>798</v>
      </c>
      <c r="CD111" s="44">
        <v>950</v>
      </c>
      <c r="CE111" s="44">
        <v>848</v>
      </c>
      <c r="CF111" s="44">
        <v>846</v>
      </c>
      <c r="CG111" s="44">
        <v>829</v>
      </c>
      <c r="CH111" s="44">
        <v>950</v>
      </c>
      <c r="CI111" s="44">
        <v>905</v>
      </c>
      <c r="CJ111" s="44">
        <v>886</v>
      </c>
      <c r="CK111" s="44">
        <v>839</v>
      </c>
      <c r="CL111" s="44">
        <v>974</v>
      </c>
      <c r="CM111" s="44">
        <v>858</v>
      </c>
      <c r="CN111" s="115">
        <v>862</v>
      </c>
      <c r="CO111" s="115">
        <v>377</v>
      </c>
      <c r="CP111" s="115">
        <v>0</v>
      </c>
      <c r="CQ111" s="115">
        <v>0</v>
      </c>
      <c r="CR111" s="115">
        <v>0</v>
      </c>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772</v>
      </c>
      <c r="EI111" s="73" t="s">
        <v>773</v>
      </c>
      <c r="EJ111" s="73" t="s">
        <v>774</v>
      </c>
      <c r="EK111" s="75">
        <f t="shared" ref="EK111:EK114" si="138">SUM(AY111:BB111)</f>
        <v>494</v>
      </c>
      <c r="EL111" s="44">
        <f t="shared" ref="EL111:EL112" si="139">SUM(BC111:BF111)</f>
        <v>2772</v>
      </c>
      <c r="EM111" s="44">
        <f>SUM(BG111:BJ111)</f>
        <v>3057</v>
      </c>
      <c r="EN111" s="44">
        <f>SUM(BK111:BN111)</f>
        <v>3219</v>
      </c>
      <c r="EO111" s="44">
        <f>SUM(BO111:BR111)</f>
        <v>3342</v>
      </c>
      <c r="EP111" s="44">
        <f>SUM(BS111:BV111)</f>
        <v>3447</v>
      </c>
      <c r="EQ111" s="44">
        <f t="shared" ref="EQ111:ET111" si="140">EP111*1.03</f>
        <v>3550.4100000000003</v>
      </c>
      <c r="ER111" s="44">
        <f t="shared" si="140"/>
        <v>3656.9223000000006</v>
      </c>
      <c r="ES111" s="44">
        <f t="shared" si="140"/>
        <v>3766.6299690000005</v>
      </c>
      <c r="ET111" s="44">
        <f t="shared" si="140"/>
        <v>3879.6288680700009</v>
      </c>
      <c r="EU111" s="44">
        <f t="shared" si="122"/>
        <v>2097</v>
      </c>
      <c r="FQ111" s="81">
        <f t="shared" ref="FQ111" si="141">EL111*0.3</f>
        <v>831.6</v>
      </c>
      <c r="FR111" s="44">
        <f>EQ111*0.3</f>
        <v>1065.123</v>
      </c>
      <c r="FS111" s="82">
        <f>ER111*0.3</f>
        <v>1097.0766900000001</v>
      </c>
    </row>
    <row r="112" spans="2:177">
      <c r="B112" s="14" t="s">
        <v>775</v>
      </c>
      <c r="AE112" s="44"/>
      <c r="AF112" s="44"/>
      <c r="AG112" s="44"/>
      <c r="AH112" s="44"/>
      <c r="AI112" s="68"/>
      <c r="AJ112" s="44"/>
      <c r="AK112" s="68" t="s">
        <v>605</v>
      </c>
      <c r="AL112" s="68" t="s">
        <v>605</v>
      </c>
      <c r="AM112" s="68" t="s">
        <v>605</v>
      </c>
      <c r="AN112" s="68" t="s">
        <v>605</v>
      </c>
      <c r="AO112" s="68" t="s">
        <v>605</v>
      </c>
      <c r="AP112" s="68" t="s">
        <v>605</v>
      </c>
      <c r="AQ112" s="73" t="s">
        <v>776</v>
      </c>
      <c r="AR112" s="73" t="s">
        <v>777</v>
      </c>
      <c r="AS112" s="73" t="s">
        <v>778</v>
      </c>
      <c r="AT112" s="73" t="s">
        <v>779</v>
      </c>
      <c r="AU112" s="73" t="s">
        <v>780</v>
      </c>
      <c r="AV112" s="75" t="s">
        <v>781</v>
      </c>
      <c r="AW112" s="73" t="s">
        <v>782</v>
      </c>
      <c r="AX112" s="73" t="s">
        <v>783</v>
      </c>
      <c r="AY112" s="75" t="s">
        <v>784</v>
      </c>
      <c r="AZ112" s="73" t="s">
        <v>785</v>
      </c>
      <c r="BA112" s="73" t="s">
        <v>785</v>
      </c>
      <c r="BB112" s="44">
        <v>191</v>
      </c>
      <c r="BC112" s="65">
        <v>458</v>
      </c>
      <c r="BD112" s="44">
        <v>476</v>
      </c>
      <c r="BE112" s="44">
        <v>441</v>
      </c>
      <c r="BF112" s="65">
        <v>492</v>
      </c>
      <c r="BG112" s="44">
        <v>470</v>
      </c>
      <c r="BH112" s="65">
        <v>493</v>
      </c>
      <c r="BI112" s="44">
        <v>577</v>
      </c>
      <c r="BJ112" s="65">
        <f>598+89</f>
        <v>687</v>
      </c>
      <c r="BK112" s="65">
        <f>513+66</f>
        <v>579</v>
      </c>
      <c r="BL112" s="44"/>
      <c r="BM112" s="44"/>
      <c r="BN112" s="44"/>
      <c r="BO112" s="44"/>
      <c r="BP112" s="44"/>
      <c r="BQ112" s="44"/>
      <c r="BR112" s="44"/>
      <c r="BS112" s="115"/>
      <c r="BT112" s="44"/>
      <c r="BU112" s="44"/>
      <c r="BV112" s="44"/>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44"/>
      <c r="EF112" s="44"/>
      <c r="EG112" s="44"/>
      <c r="EH112" s="73" t="s">
        <v>786</v>
      </c>
      <c r="EI112" s="73" t="s">
        <v>787</v>
      </c>
      <c r="EJ112" s="73" t="s">
        <v>788</v>
      </c>
      <c r="EK112" s="75">
        <f t="shared" si="138"/>
        <v>191</v>
      </c>
      <c r="EL112" s="44">
        <f t="shared" si="139"/>
        <v>1867</v>
      </c>
      <c r="EM112" s="44">
        <f>SUM(BG112:BJ112)</f>
        <v>2227</v>
      </c>
      <c r="EN112" s="44">
        <f>SUM(BK112:BN112)</f>
        <v>579</v>
      </c>
      <c r="EU112" s="44">
        <f t="shared" si="122"/>
        <v>0</v>
      </c>
      <c r="FQ112" s="81">
        <f t="shared" ref="FQ112:FQ113" si="142">EL112*0.3</f>
        <v>560.1</v>
      </c>
    </row>
    <row r="113" spans="2:211">
      <c r="B113" s="14" t="s">
        <v>789</v>
      </c>
      <c r="AE113" s="44"/>
      <c r="AF113" s="44"/>
      <c r="AG113" s="44"/>
      <c r="AH113" s="44"/>
      <c r="AI113" s="68"/>
      <c r="AJ113" s="44"/>
      <c r="AK113" s="44">
        <v>267</v>
      </c>
      <c r="AL113" s="44">
        <v>308</v>
      </c>
      <c r="AM113" s="44">
        <v>324</v>
      </c>
      <c r="AN113" s="44">
        <v>324</v>
      </c>
      <c r="AO113" s="44">
        <v>336</v>
      </c>
      <c r="AP113" s="68">
        <v>390</v>
      </c>
      <c r="AQ113" s="73">
        <v>398</v>
      </c>
      <c r="AR113" s="73">
        <v>392</v>
      </c>
      <c r="AS113" s="73">
        <v>457</v>
      </c>
      <c r="AT113" s="73">
        <v>542</v>
      </c>
      <c r="AU113" s="73">
        <v>488</v>
      </c>
      <c r="AV113" s="75">
        <v>563</v>
      </c>
      <c r="AW113" s="73">
        <v>571</v>
      </c>
      <c r="AX113" s="73">
        <v>629</v>
      </c>
      <c r="AY113" s="75">
        <v>582</v>
      </c>
      <c r="AZ113" s="73">
        <v>598</v>
      </c>
      <c r="BA113" s="73">
        <v>692</v>
      </c>
      <c r="BB113" s="44">
        <v>1053</v>
      </c>
      <c r="BC113" s="65">
        <v>1004</v>
      </c>
      <c r="BD113" s="44">
        <v>1061</v>
      </c>
      <c r="BE113" s="44">
        <v>1042</v>
      </c>
      <c r="BF113" s="65">
        <v>977</v>
      </c>
      <c r="BG113" s="44">
        <v>884</v>
      </c>
      <c r="BH113" s="65">
        <v>875</v>
      </c>
      <c r="BI113" s="44">
        <v>919</v>
      </c>
      <c r="BJ113" s="65">
        <v>952</v>
      </c>
      <c r="BK113" s="65">
        <v>836</v>
      </c>
      <c r="BL113" s="44">
        <v>862</v>
      </c>
      <c r="BM113" s="44">
        <v>879</v>
      </c>
      <c r="BN113" s="44">
        <v>915</v>
      </c>
      <c r="BO113" s="44">
        <v>747</v>
      </c>
      <c r="BP113" s="44">
        <v>756</v>
      </c>
      <c r="BQ113" s="44">
        <v>684</v>
      </c>
      <c r="BR113" s="44">
        <v>441</v>
      </c>
      <c r="BS113" s="115">
        <v>213</v>
      </c>
      <c r="BT113" s="44">
        <v>235</v>
      </c>
      <c r="BU113" s="44">
        <f>209+24</f>
        <v>233</v>
      </c>
      <c r="BV113" s="44">
        <f>+BU113</f>
        <v>233</v>
      </c>
      <c r="BW113" s="115"/>
      <c r="BX113" s="115"/>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c r="EE113" s="62">
        <v>759</v>
      </c>
      <c r="EF113" s="62">
        <v>722</v>
      </c>
      <c r="EG113" s="68">
        <v>1065</v>
      </c>
      <c r="EH113" s="68">
        <v>1374</v>
      </c>
      <c r="EI113" s="68">
        <f>EH113*1.1</f>
        <v>1511.4</v>
      </c>
      <c r="EJ113" s="44">
        <f t="shared" ref="EJ113" si="143">SUM(AR113:AU113)</f>
        <v>1879</v>
      </c>
      <c r="EK113" s="65">
        <f t="shared" si="138"/>
        <v>2925</v>
      </c>
      <c r="EL113" s="44">
        <f>SUM(BC113:BF113)</f>
        <v>4084</v>
      </c>
      <c r="EM113" s="44">
        <f>SUM(BG113:BJ113)</f>
        <v>3630</v>
      </c>
      <c r="EN113" s="44">
        <f>SUM(BK113:BN113)</f>
        <v>3492</v>
      </c>
      <c r="EO113" s="44">
        <f>SUM(BO113:BR113)</f>
        <v>2628</v>
      </c>
      <c r="EP113" s="44">
        <f t="shared" ref="EP113:EP114" si="144">SUM(BS113:BV113)</f>
        <v>914</v>
      </c>
      <c r="EQ113" s="44">
        <f t="shared" ref="EQ113:ET113" si="145">+EP113*0.99</f>
        <v>904.86</v>
      </c>
      <c r="ER113" s="44">
        <f t="shared" si="145"/>
        <v>895.81140000000005</v>
      </c>
      <c r="ES113" s="44">
        <f t="shared" si="145"/>
        <v>886.85328600000003</v>
      </c>
      <c r="ET113" s="44">
        <f t="shared" si="145"/>
        <v>877.98475314000007</v>
      </c>
      <c r="EU113" s="44">
        <f t="shared" si="122"/>
        <v>0</v>
      </c>
      <c r="FQ113" s="81">
        <f t="shared" si="142"/>
        <v>1225.2</v>
      </c>
      <c r="FR113" s="44">
        <f>EQ113*0.3</f>
        <v>271.45799999999997</v>
      </c>
      <c r="FS113" s="82">
        <f>ER113*0.3</f>
        <v>268.74342000000001</v>
      </c>
      <c r="FU113" s="14" t="s">
        <v>790</v>
      </c>
    </row>
    <row r="114" spans="2:211">
      <c r="B114" s="14" t="s">
        <v>791</v>
      </c>
      <c r="C114" s="44"/>
      <c r="D114" s="44"/>
      <c r="E114" s="44"/>
      <c r="F114" s="44"/>
      <c r="G114" s="44"/>
      <c r="H114" s="44"/>
      <c r="I114" s="44"/>
      <c r="J114" s="44"/>
      <c r="K114" s="44"/>
      <c r="L114" s="44"/>
      <c r="M114" s="44"/>
      <c r="N114" s="44"/>
      <c r="O114" s="44"/>
      <c r="P114" s="44"/>
      <c r="Q114" s="44"/>
      <c r="R114" s="44"/>
      <c r="S114" s="44"/>
      <c r="T114" s="44">
        <v>247</v>
      </c>
      <c r="AE114" s="44"/>
      <c r="AF114" s="44"/>
      <c r="AG114" s="44"/>
      <c r="AH114" s="44">
        <v>566</v>
      </c>
      <c r="AI114" s="68">
        <v>496</v>
      </c>
      <c r="AJ114" s="68"/>
      <c r="AK114" s="68">
        <v>503</v>
      </c>
      <c r="AL114" s="68">
        <v>630</v>
      </c>
      <c r="AM114" s="44">
        <v>511</v>
      </c>
      <c r="AN114" s="44">
        <v>583</v>
      </c>
      <c r="AO114" s="44">
        <v>562</v>
      </c>
      <c r="AP114" s="68">
        <v>655</v>
      </c>
      <c r="AQ114" s="68">
        <v>586</v>
      </c>
      <c r="AR114" s="68">
        <v>632</v>
      </c>
      <c r="AS114" s="68">
        <v>636</v>
      </c>
      <c r="AT114" s="68">
        <v>785</v>
      </c>
      <c r="AU114" s="68">
        <v>619</v>
      </c>
      <c r="AV114" s="70">
        <v>715</v>
      </c>
      <c r="AW114" s="68">
        <f>708</f>
        <v>708</v>
      </c>
      <c r="AX114" s="68">
        <f>783+119-35</f>
        <v>867</v>
      </c>
      <c r="AY114" s="70">
        <v>537</v>
      </c>
      <c r="AZ114" s="68">
        <f>648+273</f>
        <v>921</v>
      </c>
      <c r="BA114" s="68">
        <f>678</f>
        <v>678</v>
      </c>
      <c r="BB114" s="68">
        <v>901</v>
      </c>
      <c r="BC114" s="70">
        <v>846</v>
      </c>
      <c r="BD114" s="44">
        <v>893</v>
      </c>
      <c r="BE114" s="44">
        <v>860</v>
      </c>
      <c r="BF114" s="65">
        <v>976</v>
      </c>
      <c r="BG114" s="44">
        <v>982</v>
      </c>
      <c r="BH114" s="65">
        <v>1055</v>
      </c>
      <c r="BI114" s="44">
        <v>1041</v>
      </c>
      <c r="BJ114" s="65">
        <v>1106</v>
      </c>
      <c r="BK114" s="65">
        <v>1026</v>
      </c>
      <c r="BL114" s="44">
        <v>1085</v>
      </c>
      <c r="BM114" s="44">
        <v>1017</v>
      </c>
      <c r="BN114" s="44">
        <v>1171</v>
      </c>
      <c r="BO114" s="44">
        <v>1090</v>
      </c>
      <c r="BP114" s="44"/>
      <c r="BQ114" s="44"/>
      <c r="BR114" s="44"/>
      <c r="BS114" s="115"/>
      <c r="BT114" s="44"/>
      <c r="BU114" s="44"/>
      <c r="BV114" s="44"/>
      <c r="BW114" s="115"/>
      <c r="BX114" s="44"/>
      <c r="BY114" s="115"/>
      <c r="BZ114" s="44"/>
      <c r="CA114" s="44"/>
      <c r="CB114" s="44"/>
      <c r="CC114" s="44"/>
      <c r="CD114" s="44"/>
      <c r="CE114" s="44"/>
      <c r="CF114" s="44"/>
      <c r="CG114" s="44"/>
      <c r="CH114" s="44"/>
      <c r="CI114" s="44"/>
      <c r="CJ114" s="44"/>
      <c r="CK114" s="44"/>
      <c r="CL114" s="44"/>
      <c r="CM114" s="44"/>
      <c r="CN114" s="115"/>
      <c r="CO114" s="115"/>
      <c r="CP114" s="115"/>
      <c r="CQ114" s="115"/>
      <c r="CR114" s="115"/>
      <c r="CS114" s="115"/>
      <c r="CT114" s="115"/>
      <c r="CU114" s="115"/>
      <c r="CV114" s="115"/>
      <c r="CW114" s="115"/>
      <c r="CX114" s="115"/>
      <c r="CY114" s="115"/>
      <c r="CZ114" s="115"/>
      <c r="DA114" s="115"/>
      <c r="DB114" s="115"/>
      <c r="DC114" s="115"/>
      <c r="DD114" s="115"/>
      <c r="DE114" s="115"/>
      <c r="DF114" s="115"/>
      <c r="DG114" s="115"/>
      <c r="DH114" s="115"/>
      <c r="DI114" s="115"/>
      <c r="DJ114" s="115"/>
      <c r="DK114" s="115"/>
      <c r="DL114" s="115"/>
      <c r="DM114" s="115"/>
      <c r="DN114" s="115"/>
      <c r="DO114" s="115"/>
      <c r="DP114" s="44"/>
      <c r="DQ114" s="44"/>
      <c r="DU114" s="44"/>
      <c r="DV114" s="44"/>
      <c r="DW114" s="44"/>
      <c r="DX114" s="44"/>
      <c r="DY114" s="44"/>
      <c r="DZ114" s="44"/>
      <c r="EA114" s="44"/>
      <c r="EB114" s="44"/>
      <c r="EC114" s="44"/>
      <c r="ED114" s="44">
        <v>1118</v>
      </c>
      <c r="EE114" s="44">
        <f>1598+764</f>
        <v>2362</v>
      </c>
      <c r="EF114" s="44">
        <f>1953+914</f>
        <v>2867</v>
      </c>
      <c r="EG114" s="44">
        <f>2206+930</f>
        <v>3136</v>
      </c>
      <c r="EH114" s="44">
        <f>2311+977</f>
        <v>3288</v>
      </c>
      <c r="EI114" s="44">
        <f>EH114*1.05</f>
        <v>3452.4</v>
      </c>
      <c r="EJ114" s="44">
        <f>SUM(AR114:AU114)</f>
        <v>2672</v>
      </c>
      <c r="EK114" s="65">
        <f t="shared" si="138"/>
        <v>3037</v>
      </c>
      <c r="EL114" s="44">
        <f>SUM(BC114:BF114)</f>
        <v>3575</v>
      </c>
      <c r="EM114" s="44">
        <f>SUM(BG114:BJ114)</f>
        <v>4184</v>
      </c>
      <c r="EN114" s="44">
        <f>SUM(BK114:BN114)</f>
        <v>4299</v>
      </c>
      <c r="EO114" s="44">
        <f>SUM(BO114:BR114)</f>
        <v>1090</v>
      </c>
      <c r="EP114" s="44">
        <f t="shared" si="144"/>
        <v>0</v>
      </c>
      <c r="EQ114" s="44">
        <f>+EP114*1.03</f>
        <v>0</v>
      </c>
      <c r="ER114" s="44">
        <f>+EQ114*1.03</f>
        <v>0</v>
      </c>
      <c r="ES114" s="44">
        <f>+ER114*1.03</f>
        <v>0</v>
      </c>
      <c r="ET114" s="44">
        <f t="shared" ref="ET114" si="146">+ES114*1.03</f>
        <v>0</v>
      </c>
      <c r="EU114" s="44">
        <f t="shared" si="122"/>
        <v>0</v>
      </c>
      <c r="FQ114" s="81">
        <f>EL114*0.4</f>
        <v>1430</v>
      </c>
      <c r="FR114" s="44">
        <f>EQ114*0.4</f>
        <v>0</v>
      </c>
      <c r="FS114" s="82">
        <f>ER114*0.4</f>
        <v>0</v>
      </c>
    </row>
    <row r="115" spans="2:211">
      <c r="B115" s="5" t="s">
        <v>792</v>
      </c>
      <c r="C115" s="45">
        <f t="shared" ref="C115:AH115" si="147">SUM(C5:C114)</f>
        <v>1816</v>
      </c>
      <c r="D115" s="45">
        <f t="shared" si="147"/>
        <v>1685</v>
      </c>
      <c r="E115" s="45">
        <f t="shared" si="147"/>
        <v>1961</v>
      </c>
      <c r="F115" s="45">
        <f t="shared" si="147"/>
        <v>2277</v>
      </c>
      <c r="G115" s="45">
        <f t="shared" si="147"/>
        <v>2596</v>
      </c>
      <c r="H115" s="45">
        <f t="shared" si="147"/>
        <v>2716</v>
      </c>
      <c r="I115" s="45">
        <f t="shared" si="147"/>
        <v>2711</v>
      </c>
      <c r="J115" s="45">
        <f t="shared" si="147"/>
        <v>3244</v>
      </c>
      <c r="K115" s="45">
        <f t="shared" si="147"/>
        <v>3345</v>
      </c>
      <c r="L115" s="45">
        <f t="shared" si="147"/>
        <v>3340</v>
      </c>
      <c r="M115" s="45">
        <f t="shared" si="147"/>
        <v>3598</v>
      </c>
      <c r="N115" s="45">
        <f t="shared" si="147"/>
        <v>4121</v>
      </c>
      <c r="O115" s="45">
        <f t="shared" si="147"/>
        <v>4056</v>
      </c>
      <c r="P115" s="45">
        <f t="shared" si="147"/>
        <v>3947</v>
      </c>
      <c r="Q115" s="45">
        <f t="shared" si="147"/>
        <v>4199</v>
      </c>
      <c r="R115" s="45">
        <f t="shared" si="147"/>
        <v>4872</v>
      </c>
      <c r="S115" s="45">
        <f t="shared" si="147"/>
        <v>4759</v>
      </c>
      <c r="T115" s="45">
        <f t="shared" si="147"/>
        <v>4704</v>
      </c>
      <c r="U115" s="45">
        <f t="shared" si="147"/>
        <v>4819</v>
      </c>
      <c r="V115" s="45">
        <f t="shared" si="147"/>
        <v>5657</v>
      </c>
      <c r="W115" s="45">
        <f t="shared" si="147"/>
        <v>7344</v>
      </c>
      <c r="X115" s="45">
        <f t="shared" si="147"/>
        <v>7023</v>
      </c>
      <c r="Y115" s="45">
        <f t="shared" si="147"/>
        <v>7726</v>
      </c>
      <c r="Z115" s="45">
        <f t="shared" si="147"/>
        <v>8825</v>
      </c>
      <c r="AA115" s="45">
        <f t="shared" si="147"/>
        <v>8279.7999999999993</v>
      </c>
      <c r="AB115" s="45">
        <f t="shared" si="147"/>
        <v>7374.9</v>
      </c>
      <c r="AC115" s="45">
        <f t="shared" si="147"/>
        <v>9413.5</v>
      </c>
      <c r="AD115" s="45">
        <f t="shared" si="147"/>
        <v>10650.4</v>
      </c>
      <c r="AE115" s="45">
        <f t="shared" si="147"/>
        <v>9672.4</v>
      </c>
      <c r="AF115" s="45">
        <f t="shared" si="147"/>
        <v>9384.1</v>
      </c>
      <c r="AG115" s="45">
        <f t="shared" si="147"/>
        <v>9920.7999999999993</v>
      </c>
      <c r="AH115" s="45">
        <f t="shared" si="147"/>
        <v>13508.3</v>
      </c>
      <c r="AI115" s="45">
        <f t="shared" ref="AI115:BN115" si="148">SUM(AI5:AI114)</f>
        <v>12481.1</v>
      </c>
      <c r="AJ115" s="45">
        <f t="shared" si="148"/>
        <v>9245.2999999999993</v>
      </c>
      <c r="AK115" s="45">
        <f t="shared" si="148"/>
        <v>12582.1</v>
      </c>
      <c r="AL115" s="45">
        <f t="shared" si="148"/>
        <v>13992.8</v>
      </c>
      <c r="AM115" s="45">
        <f t="shared" si="148"/>
        <v>13091.6</v>
      </c>
      <c r="AN115" s="45">
        <f t="shared" si="148"/>
        <v>12259.2</v>
      </c>
      <c r="AO115" s="45">
        <f t="shared" si="148"/>
        <v>12789.8</v>
      </c>
      <c r="AP115" s="45">
        <f t="shared" si="148"/>
        <v>13104.7</v>
      </c>
      <c r="AQ115" s="45">
        <f t="shared" si="148"/>
        <v>12474</v>
      </c>
      <c r="AR115" s="45">
        <f t="shared" si="148"/>
        <v>11084</v>
      </c>
      <c r="AS115" s="45">
        <f t="shared" si="148"/>
        <v>11950</v>
      </c>
      <c r="AT115" s="45">
        <f t="shared" si="148"/>
        <v>12990</v>
      </c>
      <c r="AU115" s="45">
        <f t="shared" si="148"/>
        <v>12501.803</v>
      </c>
      <c r="AV115" s="45">
        <f t="shared" si="148"/>
        <v>12765.654</v>
      </c>
      <c r="AW115" s="45">
        <f t="shared" si="148"/>
        <v>12159</v>
      </c>
      <c r="AX115" s="45">
        <f t="shared" si="148"/>
        <v>12311</v>
      </c>
      <c r="AY115" s="45">
        <f t="shared" si="148"/>
        <v>11599.65</v>
      </c>
      <c r="AZ115" s="45">
        <f t="shared" si="148"/>
        <v>11749.615</v>
      </c>
      <c r="BA115" s="45">
        <f t="shared" si="148"/>
        <v>11603</v>
      </c>
      <c r="BB115" s="45">
        <f t="shared" si="148"/>
        <v>16520</v>
      </c>
      <c r="BC115" s="45">
        <f t="shared" si="148"/>
        <v>17113</v>
      </c>
      <c r="BD115" s="45">
        <f t="shared" si="148"/>
        <v>17607</v>
      </c>
      <c r="BE115" s="45">
        <f t="shared" si="148"/>
        <v>16729</v>
      </c>
      <c r="BF115" s="45">
        <f t="shared" si="148"/>
        <v>18290</v>
      </c>
      <c r="BG115" s="45">
        <f t="shared" si="148"/>
        <v>16565</v>
      </c>
      <c r="BH115" s="45">
        <f t="shared" si="148"/>
        <v>17751</v>
      </c>
      <c r="BI115" s="45">
        <f t="shared" si="148"/>
        <v>17242</v>
      </c>
      <c r="BJ115" s="45">
        <f t="shared" si="148"/>
        <v>16746</v>
      </c>
      <c r="BK115" s="45">
        <f t="shared" si="148"/>
        <v>15429</v>
      </c>
      <c r="BL115" s="45">
        <f t="shared" si="148"/>
        <v>15057</v>
      </c>
      <c r="BM115" s="45">
        <f t="shared" si="148"/>
        <v>13976</v>
      </c>
      <c r="BN115" s="45">
        <f t="shared" si="148"/>
        <v>15245</v>
      </c>
      <c r="BO115" s="45">
        <f t="shared" ref="BO115:BV115" si="149">SUM(BO5:BO114)</f>
        <v>13500</v>
      </c>
      <c r="BP115" s="45">
        <f t="shared" si="149"/>
        <v>12973</v>
      </c>
      <c r="BQ115" s="45">
        <f t="shared" si="149"/>
        <v>12576</v>
      </c>
      <c r="BR115" s="45">
        <f t="shared" si="149"/>
        <v>13829</v>
      </c>
      <c r="BS115" s="121">
        <f>SUM(BS5:BS114)</f>
        <v>11391</v>
      </c>
      <c r="BT115" s="45">
        <f t="shared" si="149"/>
        <v>12873</v>
      </c>
      <c r="BU115" s="45">
        <f t="shared" si="149"/>
        <v>12635</v>
      </c>
      <c r="BV115" s="45">
        <f t="shared" si="149"/>
        <v>13029</v>
      </c>
      <c r="BW115" s="121">
        <f>SUM(BW3:BW114)</f>
        <v>10942</v>
      </c>
      <c r="BX115" s="45">
        <f>SUM(BX3:BX114)</f>
        <v>11892</v>
      </c>
      <c r="BY115" s="121">
        <f>SUM(BY3:BY114)</f>
        <v>12088</v>
      </c>
      <c r="BZ115" s="121">
        <f>SUM(BZ3:BZ114)</f>
        <v>14027</v>
      </c>
      <c r="CA115" s="121">
        <f t="shared" ref="CA115" si="150">SUM(CA3:CA114)</f>
        <v>13005</v>
      </c>
      <c r="CB115" s="121">
        <f>SUM(CB3:CB114)</f>
        <v>13145</v>
      </c>
      <c r="CC115" s="121">
        <f>SUM(CC3:CC114)</f>
        <v>13047</v>
      </c>
      <c r="CD115" s="121">
        <f>SUM(CD3:CD114)</f>
        <v>13625</v>
      </c>
      <c r="CE115" s="121">
        <f>SUM(CE3:CE114)</f>
        <v>12780</v>
      </c>
      <c r="CF115" s="121">
        <f>SUM(CF3:CF114)</f>
        <v>12897</v>
      </c>
      <c r="CG115" s="121">
        <f t="shared" ref="CG115:CI115" si="151">SUM(CG3:CG114)</f>
        <v>13169</v>
      </c>
      <c r="CH115" s="121">
        <f t="shared" si="151"/>
        <v>13700</v>
      </c>
      <c r="CI115" s="121">
        <f t="shared" si="151"/>
        <v>12906</v>
      </c>
      <c r="CJ115" s="121">
        <f>SUM(CJ3:CJ114)</f>
        <v>13463</v>
      </c>
      <c r="CK115" s="121">
        <f t="shared" ref="CK115:DI115" si="152">SUM(CK3:CK114)</f>
        <v>13297</v>
      </c>
      <c r="CL115" s="121">
        <f t="shared" si="152"/>
        <v>14012</v>
      </c>
      <c r="CM115" s="121">
        <f t="shared" si="152"/>
        <v>13081</v>
      </c>
      <c r="CN115" s="121">
        <f t="shared" si="152"/>
        <v>12963</v>
      </c>
      <c r="CO115" s="121">
        <f t="shared" si="152"/>
        <v>12682</v>
      </c>
      <c r="CP115" s="121">
        <f t="shared" si="152"/>
        <v>12734</v>
      </c>
      <c r="CQ115" s="121">
        <f t="shared" si="152"/>
        <v>12033</v>
      </c>
      <c r="CR115" s="121">
        <f t="shared" si="152"/>
        <v>11799</v>
      </c>
      <c r="CS115" s="121">
        <f t="shared" si="152"/>
        <v>10277</v>
      </c>
      <c r="CT115" s="121">
        <f t="shared" si="152"/>
        <v>11629</v>
      </c>
      <c r="CU115" s="121">
        <f t="shared" si="152"/>
        <v>14515.599999999999</v>
      </c>
      <c r="CV115" s="121">
        <f t="shared" si="152"/>
        <v>18899</v>
      </c>
      <c r="CW115" s="121">
        <f t="shared" si="152"/>
        <v>24091</v>
      </c>
      <c r="CX115" s="121">
        <f t="shared" si="152"/>
        <v>23836</v>
      </c>
      <c r="CY115" s="121">
        <f t="shared" si="152"/>
        <v>25661.399999999998</v>
      </c>
      <c r="CZ115" s="121">
        <f t="shared" si="152"/>
        <v>27742.80000000001</v>
      </c>
      <c r="DA115" s="121">
        <f t="shared" si="152"/>
        <v>22725.800000000003</v>
      </c>
      <c r="DB115" s="121">
        <f t="shared" si="152"/>
        <v>24376</v>
      </c>
      <c r="DC115" s="121">
        <f t="shared" si="152"/>
        <v>18150</v>
      </c>
      <c r="DD115" s="121">
        <f t="shared" si="152"/>
        <v>12733</v>
      </c>
      <c r="DE115" s="121">
        <f t="shared" si="152"/>
        <v>13232</v>
      </c>
      <c r="DF115" s="121">
        <f t="shared" si="152"/>
        <v>14249</v>
      </c>
      <c r="DG115" s="121">
        <f t="shared" si="152"/>
        <v>14881</v>
      </c>
      <c r="DH115" s="121">
        <f t="shared" si="152"/>
        <v>12991</v>
      </c>
      <c r="DI115" s="121">
        <f t="shared" si="152"/>
        <v>17703</v>
      </c>
      <c r="DJ115" s="121">
        <f>SUM(DJ3:DJ114)</f>
        <v>17760</v>
      </c>
      <c r="DK115" s="121">
        <f>SUM(DK3:DK114)</f>
        <v>14502.82</v>
      </c>
      <c r="DL115" s="121">
        <f>SUM(DL3:DL114)</f>
        <v>13498.479999999998</v>
      </c>
      <c r="DM115" s="121">
        <f>SUM(DM3:DM114)</f>
        <v>15968.539999999999</v>
      </c>
      <c r="DN115" s="121">
        <f>SUM(DN3:DN114)</f>
        <v>16189.159999999996</v>
      </c>
      <c r="DO115" s="121"/>
      <c r="DP115" s="45"/>
      <c r="DQ115" s="45"/>
      <c r="DU115" s="45"/>
      <c r="DV115" s="45">
        <v>7977</v>
      </c>
      <c r="DW115" s="45">
        <v>10021</v>
      </c>
      <c r="DX115" s="45">
        <v>11306</v>
      </c>
      <c r="DY115" s="45">
        <v>12504</v>
      </c>
      <c r="DZ115" s="45">
        <v>13544</v>
      </c>
      <c r="EA115" s="45">
        <v>27376.093693693692</v>
      </c>
      <c r="EB115" s="45">
        <v>29574</v>
      </c>
      <c r="EC115" s="45">
        <v>26593</v>
      </c>
      <c r="ED115" s="45">
        <f t="shared" ref="ED115:EN115" si="153">SUM(ED69:ED114)</f>
        <v>22254</v>
      </c>
      <c r="EE115" s="45">
        <f t="shared" si="153"/>
        <v>30232</v>
      </c>
      <c r="EF115" s="45">
        <f t="shared" si="153"/>
        <v>35261</v>
      </c>
      <c r="EG115" s="45">
        <f t="shared" si="153"/>
        <v>34369</v>
      </c>
      <c r="EH115" s="45">
        <f t="shared" si="153"/>
        <v>36444</v>
      </c>
      <c r="EI115" s="45">
        <f t="shared" si="153"/>
        <v>33469.42</v>
      </c>
      <c r="EJ115" s="45">
        <f t="shared" si="153"/>
        <v>27953</v>
      </c>
      <c r="EK115" s="45">
        <f t="shared" si="153"/>
        <v>36779</v>
      </c>
      <c r="EL115" s="45">
        <f t="shared" si="153"/>
        <v>43686</v>
      </c>
      <c r="EM115" s="45">
        <f t="shared" si="153"/>
        <v>41620</v>
      </c>
      <c r="EN115" s="45">
        <f t="shared" si="153"/>
        <v>34396.199999999997</v>
      </c>
      <c r="EO115" s="45">
        <f t="shared" ref="EO115:ET115" si="154">SUM(EO5:EO114)</f>
        <v>51583</v>
      </c>
      <c r="EP115" s="45">
        <f t="shared" si="154"/>
        <v>48441</v>
      </c>
      <c r="EQ115" s="45">
        <f t="shared" si="154"/>
        <v>44307.990000000005</v>
      </c>
      <c r="ER115" s="45">
        <f t="shared" si="154"/>
        <v>38516.736099999995</v>
      </c>
      <c r="ES115" s="45">
        <f t="shared" si="154"/>
        <v>37413.10512700001</v>
      </c>
      <c r="ET115" s="45">
        <f t="shared" si="154"/>
        <v>33456.937077200004</v>
      </c>
      <c r="EU115" s="45">
        <f t="shared" ref="EU115:FK115" si="155">SUM(EU3:EU114)</f>
        <v>51460</v>
      </c>
      <c r="EV115" s="45">
        <f t="shared" si="155"/>
        <v>45738</v>
      </c>
      <c r="EW115" s="45">
        <f t="shared" si="155"/>
        <v>81341.600000000006</v>
      </c>
      <c r="EX115" s="45">
        <f t="shared" si="155"/>
        <v>100043.99999999999</v>
      </c>
      <c r="EY115" s="45">
        <f t="shared" si="155"/>
        <v>56793</v>
      </c>
      <c r="EZ115" s="45">
        <f>SUM(EZ3:EZ114)</f>
        <v>63335</v>
      </c>
      <c r="FA115" s="45">
        <f>SUM(FA3:FA114)</f>
        <v>60158.999999999985</v>
      </c>
      <c r="FB115" s="45">
        <f t="shared" si="155"/>
        <v>54583.69950000001</v>
      </c>
      <c r="FC115" s="45">
        <f>SUM(FC3:FC114)</f>
        <v>49396.436310000012</v>
      </c>
      <c r="FD115" s="45">
        <f t="shared" si="155"/>
        <v>45554.400422100014</v>
      </c>
      <c r="FE115" s="45">
        <f t="shared" si="155"/>
        <v>35011.594015655013</v>
      </c>
      <c r="FF115" s="45">
        <f t="shared" si="155"/>
        <v>31868.834586064957</v>
      </c>
      <c r="FG115" s="45">
        <f t="shared" si="155"/>
        <v>26915.736876722938</v>
      </c>
      <c r="FH115" s="45">
        <f t="shared" si="155"/>
        <v>25114.655252070908</v>
      </c>
      <c r="FI115" s="45">
        <f t="shared" si="155"/>
        <v>23604.385847714002</v>
      </c>
      <c r="FJ115" s="45">
        <f t="shared" si="155"/>
        <v>22323.941665377268</v>
      </c>
      <c r="FK115" s="45">
        <f t="shared" si="155"/>
        <v>21237.293224166424</v>
      </c>
      <c r="FL115" s="45"/>
      <c r="FM115" s="45"/>
      <c r="FN115" s="45"/>
      <c r="FO115" s="45"/>
      <c r="FP115" s="45"/>
      <c r="FQ115" s="87"/>
      <c r="FR115" s="45"/>
      <c r="FS115" s="88"/>
      <c r="FT115" s="45"/>
      <c r="FU115" s="26"/>
    </row>
    <row r="116" spans="2:211">
      <c r="B116" s="4" t="s">
        <v>793</v>
      </c>
      <c r="C116" s="68"/>
      <c r="D116" s="68"/>
      <c r="E116" s="68"/>
      <c r="F116" s="68"/>
      <c r="G116" s="68"/>
      <c r="H116" s="68"/>
      <c r="I116" s="68"/>
      <c r="J116" s="68"/>
      <c r="K116" s="68"/>
      <c r="L116" s="68"/>
      <c r="M116" s="68"/>
      <c r="N116" s="68"/>
      <c r="O116" s="68"/>
      <c r="P116" s="68"/>
      <c r="Q116" s="68"/>
      <c r="R116" s="68"/>
      <c r="S116" s="68"/>
      <c r="T116" s="68">
        <v>1150</v>
      </c>
      <c r="W116" s="68">
        <v>940</v>
      </c>
      <c r="X116" s="68">
        <v>1197</v>
      </c>
      <c r="Y116" s="68">
        <v>1314</v>
      </c>
      <c r="Z116" s="68">
        <v>1178</v>
      </c>
      <c r="AA116" s="68">
        <v>1058</v>
      </c>
      <c r="AB116" s="68">
        <f>1980-392</f>
        <v>1588</v>
      </c>
      <c r="AC116" s="68">
        <f>3285-1278</f>
        <v>2007</v>
      </c>
      <c r="AD116" s="68">
        <f>3266-1077</f>
        <v>2189</v>
      </c>
      <c r="AE116" s="68">
        <v>1794</v>
      </c>
      <c r="AF116" s="68">
        <v>1752</v>
      </c>
      <c r="AG116" s="68">
        <v>1640</v>
      </c>
      <c r="AH116" s="68">
        <v>2316</v>
      </c>
      <c r="AI116" s="68">
        <f>2191-4-56</f>
        <v>2131</v>
      </c>
      <c r="AK116" s="68">
        <v>1908</v>
      </c>
      <c r="AL116" s="68">
        <v>2346</v>
      </c>
      <c r="AM116" s="68">
        <v>1671</v>
      </c>
      <c r="AN116" s="68">
        <v>1686</v>
      </c>
      <c r="AO116" s="68">
        <v>1962</v>
      </c>
      <c r="AP116" s="68">
        <v>2217</v>
      </c>
      <c r="AQ116" s="44">
        <f>1887-94</f>
        <v>1793</v>
      </c>
      <c r="AR116" s="44">
        <f>2109-170-45</f>
        <v>1894</v>
      </c>
      <c r="AS116" s="44">
        <v>1810</v>
      </c>
      <c r="AT116" s="44">
        <v>2266</v>
      </c>
      <c r="AU116" s="44">
        <v>1800</v>
      </c>
      <c r="AV116" s="44">
        <v>2036</v>
      </c>
      <c r="AW116" s="44">
        <v>1760</v>
      </c>
      <c r="AX116" s="44">
        <f>1444</f>
        <v>1444</v>
      </c>
      <c r="AY116" s="44">
        <f>1408-94</f>
        <v>1314</v>
      </c>
      <c r="AZ116" s="44">
        <v>1686</v>
      </c>
      <c r="BA116" s="44">
        <v>1787</v>
      </c>
      <c r="BB116" s="44">
        <v>2886</v>
      </c>
      <c r="BC116" s="44">
        <v>2935</v>
      </c>
      <c r="BD116" s="44">
        <v>2951</v>
      </c>
      <c r="BE116" s="44">
        <v>2959</v>
      </c>
      <c r="BF116" s="44">
        <v>3775</v>
      </c>
      <c r="BG116" s="44">
        <v>3092</v>
      </c>
      <c r="BH116" s="44">
        <v>3257</v>
      </c>
      <c r="BI116" s="44">
        <v>3325</v>
      </c>
      <c r="BJ116" s="65">
        <v>3362</v>
      </c>
      <c r="BK116" s="65">
        <v>2885</v>
      </c>
      <c r="BL116" s="44">
        <v>2665</v>
      </c>
      <c r="BM116" s="44">
        <v>2565</v>
      </c>
      <c r="BN116" s="44">
        <v>3106</v>
      </c>
      <c r="BO116" s="44">
        <v>2615</v>
      </c>
      <c r="BP116" s="44">
        <v>2194</v>
      </c>
      <c r="BQ116" s="44">
        <v>2178</v>
      </c>
      <c r="BR116" s="44">
        <v>2672</v>
      </c>
      <c r="BS116" s="115">
        <v>1986</v>
      </c>
      <c r="BT116" s="44">
        <v>2320</v>
      </c>
      <c r="BU116" s="44">
        <f t="shared" ref="BU116:BV116" si="156">+BU115-BU117</f>
        <v>2527</v>
      </c>
      <c r="BV116" s="44">
        <f t="shared" si="156"/>
        <v>2605.7999999999993</v>
      </c>
      <c r="BW116" s="115">
        <v>1807</v>
      </c>
      <c r="BX116" s="44">
        <v>2123</v>
      </c>
      <c r="BY116" s="115">
        <v>2108</v>
      </c>
      <c r="BZ116" s="44">
        <v>2983</v>
      </c>
      <c r="CA116" s="44">
        <v>2565</v>
      </c>
      <c r="CB116" s="44">
        <v>3174</v>
      </c>
      <c r="CC116" s="44">
        <v>2957</v>
      </c>
      <c r="CD116" s="44">
        <v>3046</v>
      </c>
      <c r="CE116" s="44"/>
      <c r="CF116" s="44">
        <v>2592</v>
      </c>
      <c r="CG116" s="44">
        <v>2699</v>
      </c>
      <c r="CH116" s="44">
        <v>3062</v>
      </c>
      <c r="CI116" s="44"/>
      <c r="CJ116" s="44">
        <v>2876</v>
      </c>
      <c r="CK116" s="44">
        <v>2673</v>
      </c>
      <c r="CL116" s="44">
        <v>3044</v>
      </c>
      <c r="CM116" s="115">
        <v>2415</v>
      </c>
      <c r="CN116" s="115">
        <v>2556</v>
      </c>
      <c r="CO116" s="115">
        <v>2459</v>
      </c>
      <c r="CP116" s="115">
        <v>2600</v>
      </c>
      <c r="CQ116" s="115">
        <v>2350</v>
      </c>
      <c r="CR116" s="115">
        <v>2236</v>
      </c>
      <c r="CS116" s="115">
        <v>2007</v>
      </c>
      <c r="CT116" s="115">
        <v>2842</v>
      </c>
      <c r="CU116" s="115">
        <v>4127</v>
      </c>
      <c r="CV116" s="115">
        <v>6949</v>
      </c>
      <c r="CW116" s="115">
        <v>9899</v>
      </c>
      <c r="CX116" s="115">
        <v>9710</v>
      </c>
      <c r="CY116" s="115">
        <v>9958</v>
      </c>
      <c r="CZ116" s="115">
        <v>8625</v>
      </c>
      <c r="DA116" s="115">
        <v>6038</v>
      </c>
      <c r="DB116" s="115">
        <v>9475</v>
      </c>
      <c r="DC116" s="115">
        <f>+DC115-DC117</f>
        <v>4719</v>
      </c>
      <c r="DD116" s="115">
        <f t="shared" ref="DD116:DF116" si="157">+DD115-DD117</f>
        <v>3310.58</v>
      </c>
      <c r="DE116" s="115">
        <f t="shared" si="157"/>
        <v>3440.3199999999997</v>
      </c>
      <c r="DF116" s="115">
        <v>7265</v>
      </c>
      <c r="DG116" s="115"/>
      <c r="DH116" s="115"/>
      <c r="DI116" s="115">
        <v>4874</v>
      </c>
      <c r="DJ116" s="115">
        <v>5742</v>
      </c>
      <c r="DK116" s="115">
        <f>+DK115-DK117</f>
        <v>2900.5639999999985</v>
      </c>
      <c r="DL116" s="115">
        <f>+DL115-DL117</f>
        <v>2699.6959999999981</v>
      </c>
      <c r="DM116" s="115">
        <f>+DM115-DM117</f>
        <v>3193.7079999999987</v>
      </c>
      <c r="DN116" s="115">
        <f>+DN115-DN117</f>
        <v>3237.8319999999985</v>
      </c>
      <c r="DO116" s="115"/>
      <c r="DP116" s="44"/>
      <c r="DQ116" s="44"/>
      <c r="DU116" s="45"/>
      <c r="DV116" s="45">
        <v>1722</v>
      </c>
      <c r="DW116" s="44">
        <v>2164</v>
      </c>
      <c r="DX116" s="44">
        <v>2176</v>
      </c>
      <c r="DY116" s="44">
        <v>2274</v>
      </c>
      <c r="DZ116" s="44">
        <v>2094</v>
      </c>
      <c r="EA116" s="44">
        <v>5464</v>
      </c>
      <c r="EB116" s="44">
        <v>4907</v>
      </c>
      <c r="EC116" s="44">
        <v>3823</v>
      </c>
      <c r="ED116" s="44">
        <v>4014</v>
      </c>
      <c r="EE116" s="44">
        <v>6842</v>
      </c>
      <c r="EF116" s="44">
        <v>6391</v>
      </c>
      <c r="EG116" s="44">
        <v>7232</v>
      </c>
      <c r="EH116" s="44">
        <v>7640</v>
      </c>
      <c r="EI116" s="44"/>
      <c r="EJ116" s="44"/>
      <c r="EK116" s="44">
        <f>EK115-EK117</f>
        <v>-7020.2649999999994</v>
      </c>
      <c r="EL116" s="44">
        <f>EL115-EL117</f>
        <v>-13433</v>
      </c>
      <c r="EM116" s="44">
        <f t="shared" ref="EM116" si="158">EM115-EM117</f>
        <v>-13648</v>
      </c>
      <c r="EN116" s="44">
        <f>EN115-EN117</f>
        <v>-14089.800000000003</v>
      </c>
      <c r="EO116" s="44">
        <f>EO115-EO117</f>
        <v>8364</v>
      </c>
      <c r="EV116" s="44">
        <f>SUM(CQ116:CT116)</f>
        <v>9435</v>
      </c>
      <c r="EW116" s="44">
        <f>SUM(CU116:CX116)</f>
        <v>30685</v>
      </c>
      <c r="EX116" s="44">
        <f>SUM(CY116:DB116)</f>
        <v>34096</v>
      </c>
      <c r="EY116" s="44">
        <f>SUM(DC116:DF116)</f>
        <v>18734.900000000001</v>
      </c>
      <c r="EZ116" s="44">
        <f>+EZ115-EZ117</f>
        <v>17100.450000000004</v>
      </c>
      <c r="FA116" s="44">
        <f t="shared" ref="FA116:FA121" si="159">SUM(DK116:DN116)</f>
        <v>12031.799999999994</v>
      </c>
      <c r="FB116" s="44">
        <f t="shared" ref="FA116:FF116" si="160">+FB115-FB117</f>
        <v>13645.924875000004</v>
      </c>
      <c r="FC116" s="44">
        <f t="shared" si="160"/>
        <v>11855.144714400005</v>
      </c>
      <c r="FD116" s="44">
        <f t="shared" si="160"/>
        <v>10477.512097083003</v>
      </c>
      <c r="FE116" s="44">
        <f t="shared" si="160"/>
        <v>7702.5506834441003</v>
      </c>
      <c r="FF116" s="44">
        <f t="shared" si="160"/>
        <v>6692.4552630736398</v>
      </c>
      <c r="FG116" s="44">
        <f t="shared" ref="FG116:FK116" si="161">+FG115-FG117</f>
        <v>5652.3047441118179</v>
      </c>
      <c r="FH116" s="44">
        <f t="shared" si="161"/>
        <v>5274.077602934889</v>
      </c>
      <c r="FI116" s="44">
        <f t="shared" si="161"/>
        <v>4956.9210280199404</v>
      </c>
      <c r="FJ116" s="44">
        <f t="shared" si="161"/>
        <v>4688.0277497292263</v>
      </c>
      <c r="FK116" s="44">
        <f t="shared" si="161"/>
        <v>4459.8315770749468</v>
      </c>
    </row>
    <row r="117" spans="2:211">
      <c r="B117" s="4" t="s">
        <v>794</v>
      </c>
      <c r="C117" s="68"/>
      <c r="D117" s="68"/>
      <c r="E117" s="68"/>
      <c r="F117" s="68"/>
      <c r="G117" s="68"/>
      <c r="H117" s="68"/>
      <c r="I117" s="68"/>
      <c r="J117" s="68"/>
      <c r="K117" s="68"/>
      <c r="L117" s="68"/>
      <c r="M117" s="68"/>
      <c r="N117" s="68"/>
      <c r="O117" s="68"/>
      <c r="P117" s="68"/>
      <c r="Q117" s="68"/>
      <c r="R117" s="68"/>
      <c r="S117" s="68"/>
      <c r="T117" s="68">
        <f>T115-T116</f>
        <v>3554</v>
      </c>
      <c r="W117" s="68">
        <f>W115-W116</f>
        <v>6404</v>
      </c>
      <c r="X117" s="68">
        <f>X115-X116</f>
        <v>5826</v>
      </c>
      <c r="Y117" s="68">
        <f>Y115-Y116</f>
        <v>6412</v>
      </c>
      <c r="Z117" s="68">
        <f>Z115-Z116</f>
        <v>7647</v>
      </c>
      <c r="AA117" s="68">
        <f t="shared" ref="AA117:AI117" si="162">AA115-AA116</f>
        <v>7221.7999999999993</v>
      </c>
      <c r="AB117" s="68">
        <f t="shared" si="162"/>
        <v>5786.9</v>
      </c>
      <c r="AC117" s="68">
        <f t="shared" si="162"/>
        <v>7406.5</v>
      </c>
      <c r="AD117" s="68">
        <f t="shared" si="162"/>
        <v>8461.4</v>
      </c>
      <c r="AE117" s="68">
        <f t="shared" si="162"/>
        <v>7878.4</v>
      </c>
      <c r="AF117" s="68">
        <f t="shared" si="162"/>
        <v>7632.1</v>
      </c>
      <c r="AG117" s="68">
        <f t="shared" si="162"/>
        <v>8280.7999999999993</v>
      </c>
      <c r="AH117" s="68">
        <f t="shared" si="162"/>
        <v>11192.3</v>
      </c>
      <c r="AI117" s="68">
        <f t="shared" si="162"/>
        <v>10350.1</v>
      </c>
      <c r="AK117" s="68">
        <f t="shared" ref="AK117:AL117" si="163">AK115-AK116</f>
        <v>10674.1</v>
      </c>
      <c r="AL117" s="68">
        <f t="shared" si="163"/>
        <v>11646.8</v>
      </c>
      <c r="AM117" s="68">
        <f t="shared" ref="AM117:AS117" si="164">AM115-AM116</f>
        <v>11420.6</v>
      </c>
      <c r="AN117" s="68">
        <f t="shared" si="164"/>
        <v>10573.2</v>
      </c>
      <c r="AO117" s="68">
        <f t="shared" si="164"/>
        <v>10827.8</v>
      </c>
      <c r="AP117" s="68">
        <f t="shared" si="164"/>
        <v>10887.7</v>
      </c>
      <c r="AQ117" s="44">
        <f t="shared" si="164"/>
        <v>10681</v>
      </c>
      <c r="AR117" s="44">
        <f t="shared" si="164"/>
        <v>9190</v>
      </c>
      <c r="AS117" s="44">
        <f t="shared" si="164"/>
        <v>10140</v>
      </c>
      <c r="AT117" s="44">
        <f t="shared" ref="AT117:BB117" si="165">AT115-AT116</f>
        <v>10724</v>
      </c>
      <c r="AU117" s="44">
        <f t="shared" si="165"/>
        <v>10701.803</v>
      </c>
      <c r="AV117" s="44">
        <f t="shared" si="165"/>
        <v>10729.654</v>
      </c>
      <c r="AW117" s="44">
        <f t="shared" si="165"/>
        <v>10399</v>
      </c>
      <c r="AX117" s="44">
        <f t="shared" si="165"/>
        <v>10867</v>
      </c>
      <c r="AY117" s="44">
        <f t="shared" si="165"/>
        <v>10285.65</v>
      </c>
      <c r="AZ117" s="44">
        <f t="shared" si="165"/>
        <v>10063.615</v>
      </c>
      <c r="BA117" s="44">
        <f t="shared" si="165"/>
        <v>9816</v>
      </c>
      <c r="BB117" s="44">
        <f t="shared" si="165"/>
        <v>13634</v>
      </c>
      <c r="BC117" s="44">
        <f>BC115-BC116</f>
        <v>14178</v>
      </c>
      <c r="BD117" s="44">
        <f>BD115-BD116</f>
        <v>14656</v>
      </c>
      <c r="BE117" s="44">
        <f>+BE115-BE116</f>
        <v>13770</v>
      </c>
      <c r="BF117" s="44">
        <f>+BF115-BF116</f>
        <v>14515</v>
      </c>
      <c r="BG117" s="44">
        <f t="shared" ref="BG117:BL117" si="166">BG115-BG116</f>
        <v>13473</v>
      </c>
      <c r="BH117" s="44">
        <f t="shared" si="166"/>
        <v>14494</v>
      </c>
      <c r="BI117" s="44">
        <f t="shared" si="166"/>
        <v>13917</v>
      </c>
      <c r="BJ117" s="65">
        <f t="shared" si="166"/>
        <v>13384</v>
      </c>
      <c r="BK117" s="65">
        <f t="shared" si="166"/>
        <v>12544</v>
      </c>
      <c r="BL117" s="44">
        <f t="shared" si="166"/>
        <v>12392</v>
      </c>
      <c r="BM117" s="44">
        <f t="shared" ref="BM117:BR117" si="167">+BM115-BM116</f>
        <v>11411</v>
      </c>
      <c r="BN117" s="44">
        <f t="shared" si="167"/>
        <v>12139</v>
      </c>
      <c r="BO117" s="44">
        <f t="shared" si="167"/>
        <v>10885</v>
      </c>
      <c r="BP117" s="44">
        <f t="shared" si="167"/>
        <v>10779</v>
      </c>
      <c r="BQ117" s="44">
        <f t="shared" si="167"/>
        <v>10398</v>
      </c>
      <c r="BR117" s="44">
        <f t="shared" si="167"/>
        <v>11157</v>
      </c>
      <c r="BS117" s="115">
        <f>+BS115-BS116</f>
        <v>9405</v>
      </c>
      <c r="BT117" s="44">
        <f>+BT115-BT116</f>
        <v>10553</v>
      </c>
      <c r="BU117" s="44">
        <f t="shared" ref="BU117:BV117" si="168">+BU115*0.8</f>
        <v>10108</v>
      </c>
      <c r="BV117" s="44">
        <f t="shared" si="168"/>
        <v>10423.200000000001</v>
      </c>
      <c r="BW117" s="115">
        <f t="shared" ref="BW117:CC117" si="169">+BW115-BW116</f>
        <v>9135</v>
      </c>
      <c r="BX117" s="44">
        <f t="shared" si="169"/>
        <v>9769</v>
      </c>
      <c r="BY117" s="115">
        <f t="shared" si="169"/>
        <v>9980</v>
      </c>
      <c r="BZ117" s="44">
        <f t="shared" si="169"/>
        <v>11044</v>
      </c>
      <c r="CA117" s="44">
        <f t="shared" si="169"/>
        <v>10440</v>
      </c>
      <c r="CB117" s="44">
        <f t="shared" si="169"/>
        <v>9971</v>
      </c>
      <c r="CC117" s="44">
        <f t="shared" si="169"/>
        <v>10090</v>
      </c>
      <c r="CD117" s="44">
        <f t="shared" ref="CD117" si="170">+CD115-CD116</f>
        <v>10579</v>
      </c>
      <c r="CE117" s="44">
        <f t="shared" ref="CE117" si="171">+CE115-CE116</f>
        <v>12780</v>
      </c>
      <c r="CF117" s="44">
        <f t="shared" ref="CF117:CI117" si="172">+CF115-CF116</f>
        <v>10305</v>
      </c>
      <c r="CG117" s="44">
        <f>+CG115-CG116</f>
        <v>10470</v>
      </c>
      <c r="CH117" s="44">
        <f t="shared" si="172"/>
        <v>10638</v>
      </c>
      <c r="CI117" s="44">
        <f t="shared" si="172"/>
        <v>12906</v>
      </c>
      <c r="CJ117" s="44">
        <f>+CJ115-CJ116</f>
        <v>10587</v>
      </c>
      <c r="CK117" s="44">
        <f t="shared" ref="CK117:CS117" si="173">+CK115-CK116</f>
        <v>10624</v>
      </c>
      <c r="CL117" s="44">
        <f t="shared" si="173"/>
        <v>10968</v>
      </c>
      <c r="CM117" s="115">
        <f t="shared" si="173"/>
        <v>10666</v>
      </c>
      <c r="CN117" s="44">
        <f t="shared" si="173"/>
        <v>10407</v>
      </c>
      <c r="CO117" s="44">
        <f t="shared" si="173"/>
        <v>10223</v>
      </c>
      <c r="CP117" s="115">
        <f t="shared" si="173"/>
        <v>10134</v>
      </c>
      <c r="CQ117" s="115">
        <f t="shared" si="173"/>
        <v>9683</v>
      </c>
      <c r="CR117" s="115">
        <f t="shared" si="173"/>
        <v>9563</v>
      </c>
      <c r="CS117" s="115">
        <f t="shared" si="173"/>
        <v>8270</v>
      </c>
      <c r="CT117" s="115">
        <f t="shared" ref="CT117" si="174">CT115-CT116</f>
        <v>8787</v>
      </c>
      <c r="CU117" s="115">
        <f>CU115-CU116</f>
        <v>10388.599999999999</v>
      </c>
      <c r="CV117" s="115">
        <f>+CV115-CV116</f>
        <v>11950</v>
      </c>
      <c r="CW117" s="115">
        <f>+CW115-CW116</f>
        <v>14192</v>
      </c>
      <c r="CX117" s="115">
        <f>CX115-CX116</f>
        <v>14126</v>
      </c>
      <c r="CY117" s="115">
        <f>CY115-CY116</f>
        <v>15703.399999999998</v>
      </c>
      <c r="CZ117" s="115">
        <f>+CZ115-CZ116</f>
        <v>19117.80000000001</v>
      </c>
      <c r="DA117" s="115">
        <f>+DA115-DA116</f>
        <v>16687.800000000003</v>
      </c>
      <c r="DB117" s="115">
        <f>+DB115-DB116</f>
        <v>14901</v>
      </c>
      <c r="DC117" s="115">
        <f>+DC115*0.74</f>
        <v>13431</v>
      </c>
      <c r="DD117" s="115">
        <f t="shared" ref="DD117:DF117" si="175">+DD115*0.74</f>
        <v>9422.42</v>
      </c>
      <c r="DE117" s="115">
        <f t="shared" si="175"/>
        <v>9791.68</v>
      </c>
      <c r="DF117" s="115">
        <f>+DF115-DF116</f>
        <v>6984</v>
      </c>
      <c r="DG117" s="115"/>
      <c r="DH117" s="115"/>
      <c r="DI117" s="115">
        <f>+DI115-DI116</f>
        <v>12829</v>
      </c>
      <c r="DJ117" s="115">
        <f>+DJ115-DJ116</f>
        <v>12018</v>
      </c>
      <c r="DK117" s="115">
        <f>+DK115*0.8</f>
        <v>11602.256000000001</v>
      </c>
      <c r="DL117" s="115">
        <f>+DL115*0.8</f>
        <v>10798.784</v>
      </c>
      <c r="DM117" s="115">
        <f>+DM115*0.8</f>
        <v>12774.832</v>
      </c>
      <c r="DN117" s="115">
        <f>+DN115*0.8</f>
        <v>12951.327999999998</v>
      </c>
      <c r="DO117" s="115"/>
      <c r="DP117" s="44"/>
      <c r="DQ117" s="44"/>
      <c r="DU117" s="44"/>
      <c r="DV117" s="44">
        <f>DV115-DV116</f>
        <v>6255</v>
      </c>
      <c r="DW117" s="44">
        <f t="shared" ref="DW117:EC117" si="176">DW115-DW116</f>
        <v>7857</v>
      </c>
      <c r="DX117" s="44">
        <f t="shared" si="176"/>
        <v>9130</v>
      </c>
      <c r="DY117" s="44">
        <f t="shared" si="176"/>
        <v>10230</v>
      </c>
      <c r="DZ117" s="44">
        <f t="shared" si="176"/>
        <v>11450</v>
      </c>
      <c r="EA117" s="44">
        <f t="shared" si="176"/>
        <v>21912.093693693692</v>
      </c>
      <c r="EB117" s="44">
        <f t="shared" si="176"/>
        <v>24667</v>
      </c>
      <c r="EC117" s="44">
        <f t="shared" si="176"/>
        <v>22770</v>
      </c>
      <c r="ED117" s="44">
        <f>ED115-ED116</f>
        <v>18240</v>
      </c>
      <c r="EE117" s="44">
        <f>EE115-EE116</f>
        <v>23390</v>
      </c>
      <c r="EF117" s="44">
        <f>EF115-EF116</f>
        <v>28870</v>
      </c>
      <c r="EG117" s="44">
        <f>EG115-EG116</f>
        <v>27137</v>
      </c>
      <c r="EH117" s="44">
        <f>EH115-EH116</f>
        <v>28804</v>
      </c>
      <c r="EI117" s="44">
        <f>+EI115*0.8</f>
        <v>26775.536</v>
      </c>
      <c r="EJ117" s="44">
        <f>SUM(AY117:BB117)</f>
        <v>43799.264999999999</v>
      </c>
      <c r="EK117" s="44">
        <f>SUM(AY117:BB117)</f>
        <v>43799.264999999999</v>
      </c>
      <c r="EL117" s="44">
        <f>SUM(BC117:BF117)</f>
        <v>57119</v>
      </c>
      <c r="EM117" s="44">
        <f>SUM(BG117:BJ117)</f>
        <v>55268</v>
      </c>
      <c r="EN117" s="44">
        <f>SUM(BK117:BN117)</f>
        <v>48486</v>
      </c>
      <c r="EO117" s="44">
        <f>SUM(BO117:BR117)</f>
        <v>43219</v>
      </c>
      <c r="EV117" s="44">
        <f>+EV115-EV116</f>
        <v>36303</v>
      </c>
      <c r="EW117" s="44">
        <f>+EW115-EW116</f>
        <v>50656.600000000006</v>
      </c>
      <c r="EX117" s="44">
        <f>+EX115-EX116</f>
        <v>65947.999999999985</v>
      </c>
      <c r="EY117" s="44">
        <f>+EY115-EY116</f>
        <v>38058.1</v>
      </c>
      <c r="EZ117" s="44">
        <f>+EZ115*0.73</f>
        <v>46234.549999999996</v>
      </c>
      <c r="FA117" s="44">
        <f>+FA115-FA116</f>
        <v>48127.19999999999</v>
      </c>
      <c r="FB117" s="44">
        <f>+FB115*0.75</f>
        <v>40937.774625000005</v>
      </c>
      <c r="FC117" s="44">
        <f>+FC115*0.76</f>
        <v>37541.291595600007</v>
      </c>
      <c r="FD117" s="44">
        <f>+FD115*0.77</f>
        <v>35076.888325017011</v>
      </c>
      <c r="FE117" s="44">
        <f>+FE115*0.78</f>
        <v>27309.043332210913</v>
      </c>
      <c r="FF117" s="44">
        <f>+FF115*0.79</f>
        <v>25176.379322991317</v>
      </c>
      <c r="FG117" s="44">
        <f t="shared" ref="FG117:FK117" si="177">+FG115*0.79</f>
        <v>21263.43213261112</v>
      </c>
      <c r="FH117" s="44">
        <f t="shared" si="177"/>
        <v>19840.577649136019</v>
      </c>
      <c r="FI117" s="44">
        <f t="shared" si="177"/>
        <v>18647.464819694062</v>
      </c>
      <c r="FJ117" s="44">
        <f t="shared" si="177"/>
        <v>17635.913915648041</v>
      </c>
      <c r="FK117" s="44">
        <f t="shared" si="177"/>
        <v>16777.461647091477</v>
      </c>
    </row>
    <row r="118" spans="2:211">
      <c r="B118" s="4" t="s">
        <v>795</v>
      </c>
      <c r="C118" s="68"/>
      <c r="D118" s="68"/>
      <c r="E118" s="68"/>
      <c r="F118" s="68"/>
      <c r="G118" s="68"/>
      <c r="H118" s="68"/>
      <c r="I118" s="68"/>
      <c r="J118" s="68"/>
      <c r="K118" s="68"/>
      <c r="L118" s="68"/>
      <c r="M118" s="68"/>
      <c r="N118" s="68"/>
      <c r="O118" s="68"/>
      <c r="P118" s="68"/>
      <c r="Q118" s="68"/>
      <c r="R118" s="68"/>
      <c r="S118" s="68"/>
      <c r="T118" s="68">
        <v>2810</v>
      </c>
      <c r="W118" s="68">
        <v>2545</v>
      </c>
      <c r="X118" s="68">
        <v>2983</v>
      </c>
      <c r="Y118" s="68">
        <f>2946-10</f>
        <v>2936</v>
      </c>
      <c r="Z118" s="68">
        <v>2982</v>
      </c>
      <c r="AA118" s="68">
        <v>2740</v>
      </c>
      <c r="AB118" s="68">
        <v>3744</v>
      </c>
      <c r="AC118" s="68">
        <v>3994</v>
      </c>
      <c r="AD118" s="68">
        <v>4629</v>
      </c>
      <c r="AE118" s="68">
        <f>3933</f>
        <v>3933</v>
      </c>
      <c r="AF118" s="68">
        <v>4258</v>
      </c>
      <c r="AG118" s="68">
        <v>4036</v>
      </c>
      <c r="AH118" s="68">
        <v>4676</v>
      </c>
      <c r="AI118" s="68">
        <f>4085-2</f>
        <v>4083</v>
      </c>
      <c r="AK118" s="68">
        <v>3931</v>
      </c>
      <c r="AL118" s="68">
        <v>4755</v>
      </c>
      <c r="AM118" s="68">
        <v>3395</v>
      </c>
      <c r="AN118" s="68">
        <v>3846</v>
      </c>
      <c r="AO118" s="68">
        <v>3751</v>
      </c>
      <c r="AP118" s="68">
        <v>4562</v>
      </c>
      <c r="AQ118" s="44">
        <f>3361-49</f>
        <v>3312</v>
      </c>
      <c r="AR118" s="44">
        <f>3844-79</f>
        <v>3765</v>
      </c>
      <c r="AS118" s="44">
        <v>3638</v>
      </c>
      <c r="AT118" s="44">
        <v>4532</v>
      </c>
      <c r="AU118" s="44">
        <v>3409</v>
      </c>
      <c r="AV118" s="44">
        <v>3696</v>
      </c>
      <c r="AW118" s="44">
        <v>3429</v>
      </c>
      <c r="AX118" s="44">
        <v>3510</v>
      </c>
      <c r="AY118" s="44">
        <f>2876-46</f>
        <v>2830</v>
      </c>
      <c r="AZ118" s="44">
        <v>3264</v>
      </c>
      <c r="BA118" s="44">
        <v>3225</v>
      </c>
      <c r="BB118" s="44">
        <v>5345</v>
      </c>
      <c r="BC118" s="44">
        <v>4375</v>
      </c>
      <c r="BD118" s="44">
        <v>4727</v>
      </c>
      <c r="BE118" s="44">
        <v>4615</v>
      </c>
      <c r="BF118" s="44">
        <v>5743</v>
      </c>
      <c r="BG118" s="44">
        <v>4501</v>
      </c>
      <c r="BH118" s="44">
        <v>4950</v>
      </c>
      <c r="BI118" s="44">
        <v>4560</v>
      </c>
      <c r="BJ118" s="65">
        <v>5347</v>
      </c>
      <c r="BK118" s="65">
        <v>4111</v>
      </c>
      <c r="BL118" s="44">
        <v>3937</v>
      </c>
      <c r="BM118" s="44">
        <v>3729</v>
      </c>
      <c r="BN118" s="44">
        <v>4658</v>
      </c>
      <c r="BO118" s="44">
        <v>3494</v>
      </c>
      <c r="BP118" s="44">
        <v>3550</v>
      </c>
      <c r="BQ118" s="44">
        <v>3351</v>
      </c>
      <c r="BR118" s="44">
        <v>4093</v>
      </c>
      <c r="BS118" s="115">
        <v>3020</v>
      </c>
      <c r="BT118" s="44">
        <v>3486</v>
      </c>
      <c r="BU118" s="44">
        <f t="shared" ref="BU118:BU119" si="178">+BQ118*0.95</f>
        <v>3183.45</v>
      </c>
      <c r="BV118" s="44">
        <f t="shared" ref="BV118:BV119" si="179">+BR118*0.95</f>
        <v>3888.35</v>
      </c>
      <c r="BW118" s="115">
        <v>3078</v>
      </c>
      <c r="BX118" s="44">
        <v>3372</v>
      </c>
      <c r="BY118" s="115">
        <v>3276</v>
      </c>
      <c r="BZ118" s="44">
        <v>4598</v>
      </c>
      <c r="CA118" s="44">
        <v>3368</v>
      </c>
      <c r="CB118" s="44">
        <v>3471</v>
      </c>
      <c r="CC118" s="44">
        <v>3531</v>
      </c>
      <c r="CD118" s="44">
        <v>4402</v>
      </c>
      <c r="CE118" s="44"/>
      <c r="CF118" s="44">
        <v>3390</v>
      </c>
      <c r="CG118" s="44">
        <v>3478</v>
      </c>
      <c r="CH118" s="44">
        <v>4318</v>
      </c>
      <c r="CI118" s="44"/>
      <c r="CJ118" s="44">
        <v>3507</v>
      </c>
      <c r="CK118" s="44">
        <v>3471</v>
      </c>
      <c r="CL118" s="44">
        <v>3968</v>
      </c>
      <c r="CM118" s="115">
        <v>3311</v>
      </c>
      <c r="CN118" s="115">
        <v>3464</v>
      </c>
      <c r="CO118" s="115">
        <v>3196</v>
      </c>
      <c r="CP118" s="115">
        <v>4070</v>
      </c>
      <c r="CQ118" s="115">
        <v>2745</v>
      </c>
      <c r="CR118" s="115">
        <v>2808</v>
      </c>
      <c r="CS118" s="115">
        <v>2658</v>
      </c>
      <c r="CT118" s="115">
        <v>3580</v>
      </c>
      <c r="CU118" s="115">
        <v>2643</v>
      </c>
      <c r="CV118" s="115">
        <v>2778</v>
      </c>
      <c r="CW118" s="115">
        <v>2719</v>
      </c>
      <c r="CX118" s="115">
        <v>3941</v>
      </c>
      <c r="CY118" s="115">
        <v>2496</v>
      </c>
      <c r="CZ118" s="115">
        <v>2900</v>
      </c>
      <c r="DA118" s="115">
        <v>3239</v>
      </c>
      <c r="DB118" s="115">
        <v>4414</v>
      </c>
      <c r="DC118" s="115">
        <f>+CY118*1.05</f>
        <v>2620.8000000000002</v>
      </c>
      <c r="DD118" s="115">
        <f t="shared" ref="DD118:DF118" si="180">+CZ118*1.05</f>
        <v>3045</v>
      </c>
      <c r="DE118" s="115">
        <f t="shared" si="180"/>
        <v>3400.9500000000003</v>
      </c>
      <c r="DF118" s="115">
        <v>4471</v>
      </c>
      <c r="DG118" s="115"/>
      <c r="DH118" s="115"/>
      <c r="DI118" s="115">
        <v>3219</v>
      </c>
      <c r="DJ118" s="115">
        <v>4275</v>
      </c>
      <c r="DK118" s="115">
        <f>+DK115*0.25</f>
        <v>3625.7049999999999</v>
      </c>
      <c r="DL118" s="115">
        <f>+DL115*0.25</f>
        <v>3374.6199999999994</v>
      </c>
      <c r="DM118" s="115">
        <f>+DM115*0.25</f>
        <v>3992.1349999999998</v>
      </c>
      <c r="DN118" s="115">
        <f>+DN115*0.25</f>
        <v>4047.2899999999991</v>
      </c>
      <c r="DO118" s="115"/>
      <c r="DP118" s="44"/>
      <c r="DQ118" s="44"/>
      <c r="DU118" s="44"/>
      <c r="DV118" s="44">
        <v>3184</v>
      </c>
      <c r="DW118" s="44">
        <v>3855</v>
      </c>
      <c r="DX118" s="44">
        <v>4366</v>
      </c>
      <c r="DY118" s="44">
        <v>4956</v>
      </c>
      <c r="DZ118" s="44">
        <v>5568</v>
      </c>
      <c r="EA118" s="44">
        <v>10810</v>
      </c>
      <c r="EB118" s="44">
        <v>11442</v>
      </c>
      <c r="EC118" s="44">
        <v>9717</v>
      </c>
      <c r="ED118" s="44">
        <v>10829</v>
      </c>
      <c r="EE118" s="44">
        <v>15107</v>
      </c>
      <c r="EF118" s="44">
        <v>15304</v>
      </c>
      <c r="EG118" s="44">
        <v>15313</v>
      </c>
      <c r="EH118" s="44">
        <v>15589</v>
      </c>
      <c r="EI118" s="44">
        <f>SUM(AQ118:AT118)</f>
        <v>15247</v>
      </c>
      <c r="EJ118" s="44">
        <f>SUM(AU118:AX118)</f>
        <v>14044</v>
      </c>
      <c r="EK118" s="44">
        <f>SUM(AY118:BB118)</f>
        <v>14664</v>
      </c>
      <c r="EL118" s="44">
        <f>SUM(BC118:BF118)</f>
        <v>19460</v>
      </c>
      <c r="EM118" s="44">
        <f>SUM(BG118:BJ118)</f>
        <v>19358</v>
      </c>
      <c r="EN118" s="44">
        <f>SUM(BK118:BN118)</f>
        <v>16435</v>
      </c>
      <c r="EO118" s="44">
        <f>SUM(BO118:BR118)</f>
        <v>14488</v>
      </c>
      <c r="EV118" s="44">
        <f>SUM(CQ118:CT118)</f>
        <v>11791</v>
      </c>
      <c r="EW118" s="44">
        <f t="shared" ref="EW118:EW121" si="181">SUM(CU118:CX118)</f>
        <v>12081</v>
      </c>
      <c r="EX118" s="44">
        <f>SUM(CY118:DB118)</f>
        <v>13049</v>
      </c>
      <c r="EY118" s="44">
        <f>SUM(DC118:DF118)</f>
        <v>13537.75</v>
      </c>
      <c r="EZ118" s="44">
        <f>+EY118*0.9</f>
        <v>12183.975</v>
      </c>
      <c r="FA118" s="44">
        <f t="shared" si="159"/>
        <v>15039.749999999998</v>
      </c>
      <c r="FB118" s="44">
        <f t="shared" ref="FA118:FF118" si="182">+FA118*0.9</f>
        <v>13535.774999999998</v>
      </c>
      <c r="FC118" s="44">
        <f t="shared" si="182"/>
        <v>12182.197499999998</v>
      </c>
      <c r="FD118" s="44">
        <f t="shared" si="182"/>
        <v>10963.977749999998</v>
      </c>
      <c r="FE118" s="44">
        <f t="shared" si="182"/>
        <v>9867.5799749999987</v>
      </c>
      <c r="FF118" s="44">
        <f t="shared" si="182"/>
        <v>8880.8219774999998</v>
      </c>
      <c r="FG118" s="44">
        <f t="shared" ref="FG118" si="183">+FF118*0.9</f>
        <v>7992.7397797499998</v>
      </c>
      <c r="FH118" s="44">
        <f t="shared" ref="FH118" si="184">+FG118*0.9</f>
        <v>7193.4658017749998</v>
      </c>
      <c r="FI118" s="44">
        <f t="shared" ref="FI118" si="185">+FH118*0.9</f>
        <v>6474.1192215974997</v>
      </c>
      <c r="FJ118" s="44">
        <f t="shared" ref="FJ118" si="186">+FI118*0.9</f>
        <v>5826.7072994377495</v>
      </c>
      <c r="FK118" s="44">
        <f t="shared" ref="FK118" si="187">+FJ118*0.9</f>
        <v>5244.0365694939746</v>
      </c>
    </row>
    <row r="119" spans="2:211">
      <c r="B119" s="4" t="s">
        <v>796</v>
      </c>
      <c r="C119" s="68"/>
      <c r="D119" s="68"/>
      <c r="E119" s="68"/>
      <c r="F119" s="68"/>
      <c r="G119" s="68"/>
      <c r="H119" s="68"/>
      <c r="I119" s="68"/>
      <c r="J119" s="68"/>
      <c r="K119" s="68"/>
      <c r="L119" s="68"/>
      <c r="M119" s="68"/>
      <c r="N119" s="68"/>
      <c r="O119" s="68"/>
      <c r="P119" s="68"/>
      <c r="Q119" s="68"/>
      <c r="R119" s="68"/>
      <c r="S119" s="68"/>
      <c r="T119" s="68">
        <v>1116</v>
      </c>
      <c r="W119" s="68">
        <v>1181</v>
      </c>
      <c r="X119" s="68">
        <v>1257</v>
      </c>
      <c r="Y119" s="68">
        <v>1263</v>
      </c>
      <c r="Z119" s="68">
        <v>1511</v>
      </c>
      <c r="AA119" s="68">
        <v>1218</v>
      </c>
      <c r="AB119" s="68">
        <v>1713</v>
      </c>
      <c r="AC119" s="68">
        <v>1869</v>
      </c>
      <c r="AD119" s="68">
        <v>2407</v>
      </c>
      <c r="AE119" s="68">
        <f>1649</f>
        <v>1649</v>
      </c>
      <c r="AF119" s="68">
        <f>1806</f>
        <v>1806</v>
      </c>
      <c r="AG119" s="68">
        <v>1888</v>
      </c>
      <c r="AH119" s="68">
        <v>2328</v>
      </c>
      <c r="AI119" s="68">
        <v>1764</v>
      </c>
      <c r="AK119" s="68">
        <v>1783</v>
      </c>
      <c r="AL119" s="68">
        <v>2020</v>
      </c>
      <c r="AM119" s="68">
        <v>1543</v>
      </c>
      <c r="AN119" s="68">
        <v>1702</v>
      </c>
      <c r="AO119" s="68">
        <v>1902</v>
      </c>
      <c r="AP119" s="68">
        <v>2412</v>
      </c>
      <c r="AQ119" s="44">
        <f>1665-31</f>
        <v>1634</v>
      </c>
      <c r="AR119" s="44">
        <f>2165-200-131</f>
        <v>1834</v>
      </c>
      <c r="AS119" s="44">
        <v>1730</v>
      </c>
      <c r="AT119" s="44">
        <v>2160</v>
      </c>
      <c r="AU119" s="44">
        <v>1638</v>
      </c>
      <c r="AV119" s="44">
        <v>1869</v>
      </c>
      <c r="AW119" s="44">
        <v>1769</v>
      </c>
      <c r="AX119" s="44">
        <v>2212</v>
      </c>
      <c r="AY119" s="44">
        <f>1705-33</f>
        <v>1672</v>
      </c>
      <c r="AZ119" s="44">
        <v>1656</v>
      </c>
      <c r="BA119" s="44">
        <v>1619</v>
      </c>
      <c r="BB119" s="44">
        <v>2799</v>
      </c>
      <c r="BC119" s="44">
        <v>2196</v>
      </c>
      <c r="BD119" s="44">
        <v>2182</v>
      </c>
      <c r="BE119" s="44">
        <v>2160</v>
      </c>
      <c r="BF119" s="44">
        <v>2800</v>
      </c>
      <c r="BG119" s="44">
        <v>2017</v>
      </c>
      <c r="BH119" s="44">
        <v>2059</v>
      </c>
      <c r="BI119" s="44">
        <v>2034</v>
      </c>
      <c r="BJ119" s="65">
        <v>2327</v>
      </c>
      <c r="BK119" s="65">
        <v>1755</v>
      </c>
      <c r="BL119" s="44">
        <v>1664</v>
      </c>
      <c r="BM119" s="44">
        <v>1935</v>
      </c>
      <c r="BN119" s="44">
        <v>2000</v>
      </c>
      <c r="BO119" s="44">
        <v>1708</v>
      </c>
      <c r="BP119" s="44">
        <v>1521</v>
      </c>
      <c r="BQ119" s="44">
        <v>1625</v>
      </c>
      <c r="BR119" s="44">
        <v>1790</v>
      </c>
      <c r="BS119" s="115">
        <v>1612</v>
      </c>
      <c r="BT119" s="44">
        <v>1714</v>
      </c>
      <c r="BU119" s="44">
        <f t="shared" si="178"/>
        <v>1543.75</v>
      </c>
      <c r="BV119" s="44">
        <f t="shared" si="179"/>
        <v>1700.5</v>
      </c>
      <c r="BW119" s="115">
        <v>1877</v>
      </c>
      <c r="BX119" s="44">
        <v>1732</v>
      </c>
      <c r="BY119" s="115">
        <v>1725</v>
      </c>
      <c r="BZ119" s="44">
        <v>2318</v>
      </c>
      <c r="CA119" s="44">
        <v>1723</v>
      </c>
      <c r="CB119" s="44">
        <v>1748</v>
      </c>
      <c r="CC119" s="44">
        <v>1873</v>
      </c>
      <c r="CD119" s="44">
        <v>2505</v>
      </c>
      <c r="CE119" s="44"/>
      <c r="CF119" s="44">
        <v>1777</v>
      </c>
      <c r="CG119" s="44">
        <v>1851</v>
      </c>
      <c r="CH119" s="44">
        <v>2300</v>
      </c>
      <c r="CI119" s="44"/>
      <c r="CJ119" s="44">
        <v>1789</v>
      </c>
      <c r="CK119" s="44">
        <v>1998</v>
      </c>
      <c r="CL119" s="44">
        <v>2436</v>
      </c>
      <c r="CM119" s="115">
        <v>1693</v>
      </c>
      <c r="CN119" s="115">
        <v>1825</v>
      </c>
      <c r="CO119" s="115">
        <v>1940</v>
      </c>
      <c r="CP119" s="115">
        <v>2530</v>
      </c>
      <c r="CQ119" s="115">
        <v>1727</v>
      </c>
      <c r="CR119" s="115">
        <v>1895</v>
      </c>
      <c r="CS119" s="115">
        <v>2300</v>
      </c>
      <c r="CT119" s="115">
        <v>3068</v>
      </c>
      <c r="CU119" s="115">
        <v>1992</v>
      </c>
      <c r="CV119" s="115">
        <v>2237</v>
      </c>
      <c r="CW119" s="115">
        <v>2681</v>
      </c>
      <c r="CX119" s="115">
        <v>3503</v>
      </c>
      <c r="CY119" s="115">
        <v>2295</v>
      </c>
      <c r="CZ119" s="115">
        <v>2811</v>
      </c>
      <c r="DA119" s="115">
        <v>2696</v>
      </c>
      <c r="DB119" s="115">
        <v>3615</v>
      </c>
      <c r="DC119" s="115">
        <f t="shared" ref="DC119" si="188">+CY119*1.05</f>
        <v>2409.75</v>
      </c>
      <c r="DD119" s="115">
        <f t="shared" ref="DD119" si="189">+CZ119*1.05</f>
        <v>2951.55</v>
      </c>
      <c r="DE119" s="115">
        <f t="shared" ref="DE119" si="190">+DA119*1.05</f>
        <v>2830.8</v>
      </c>
      <c r="DF119" s="115">
        <v>2770</v>
      </c>
      <c r="DG119" s="115"/>
      <c r="DH119" s="115"/>
      <c r="DI119" s="115"/>
      <c r="DJ119" s="115">
        <v>2986</v>
      </c>
      <c r="DK119" s="115"/>
      <c r="DL119" s="115"/>
      <c r="DM119" s="115"/>
      <c r="DN119" s="115"/>
      <c r="DO119" s="115"/>
      <c r="DP119" s="44"/>
      <c r="DQ119" s="44"/>
      <c r="DU119" s="44"/>
      <c r="DV119" s="44">
        <v>1126</v>
      </c>
      <c r="DW119" s="44">
        <v>1442</v>
      </c>
      <c r="DX119" s="44">
        <v>1684</v>
      </c>
      <c r="DY119" s="44">
        <v>1928</v>
      </c>
      <c r="DZ119" s="44">
        <v>2279</v>
      </c>
      <c r="EA119" s="44">
        <v>4036</v>
      </c>
      <c r="EB119" s="44">
        <v>4435</v>
      </c>
      <c r="EC119" s="44">
        <v>4896</v>
      </c>
      <c r="ED119" s="44">
        <v>5153</v>
      </c>
      <c r="EE119" s="44">
        <v>7279</v>
      </c>
      <c r="EF119" s="44">
        <v>7513</v>
      </c>
      <c r="EG119" s="44">
        <v>7256</v>
      </c>
      <c r="EH119" s="44">
        <v>7599</v>
      </c>
      <c r="EI119" s="44">
        <f>SUM(AQ119:AT119)</f>
        <v>7358</v>
      </c>
      <c r="EJ119" s="44">
        <f>SUM(AU119:AX119)</f>
        <v>7488</v>
      </c>
      <c r="EK119" s="44">
        <f>SUM(AY119:BB119)</f>
        <v>7746</v>
      </c>
      <c r="EL119" s="44">
        <f>SUM(BC119:BF119)</f>
        <v>9338</v>
      </c>
      <c r="EM119" s="44">
        <v>8250</v>
      </c>
      <c r="EN119" s="44">
        <f>SUM(BK119:BN119)</f>
        <v>7354</v>
      </c>
      <c r="EV119" s="44">
        <f>SUM(CQ119:CT119)</f>
        <v>8990</v>
      </c>
      <c r="EW119" s="44">
        <f t="shared" si="181"/>
        <v>10413</v>
      </c>
      <c r="EX119" s="44">
        <f>SUM(CY119:DB119)</f>
        <v>11417</v>
      </c>
      <c r="EY119" s="44">
        <f>SUM(DC119:DF119)</f>
        <v>10962.1</v>
      </c>
      <c r="EZ119" s="44">
        <f t="shared" ref="EZ119" si="191">+EY119*0.9</f>
        <v>9865.8900000000012</v>
      </c>
    </row>
    <row r="120" spans="2:211">
      <c r="B120" s="4" t="s">
        <v>797</v>
      </c>
      <c r="C120" s="68"/>
      <c r="D120" s="68"/>
      <c r="E120" s="68"/>
      <c r="F120" s="68"/>
      <c r="G120" s="68"/>
      <c r="H120" s="68"/>
      <c r="I120" s="68"/>
      <c r="J120" s="68"/>
      <c r="K120" s="68"/>
      <c r="L120" s="68"/>
      <c r="M120" s="68"/>
      <c r="N120" s="68"/>
      <c r="O120" s="68"/>
      <c r="P120" s="68"/>
      <c r="Q120" s="68"/>
      <c r="R120" s="68"/>
      <c r="S120" s="68"/>
      <c r="T120" s="68">
        <f>T117-T118-T119</f>
        <v>-372</v>
      </c>
      <c r="W120" s="68">
        <f t="shared" ref="W120:AI120" si="192">W117-W118-W119</f>
        <v>2678</v>
      </c>
      <c r="X120" s="68">
        <f t="shared" si="192"/>
        <v>1586</v>
      </c>
      <c r="Y120" s="68">
        <f t="shared" si="192"/>
        <v>2213</v>
      </c>
      <c r="Z120" s="68">
        <f t="shared" si="192"/>
        <v>3154</v>
      </c>
      <c r="AA120" s="68">
        <f t="shared" si="192"/>
        <v>3263.7999999999993</v>
      </c>
      <c r="AB120" s="68">
        <f t="shared" si="192"/>
        <v>329.89999999999964</v>
      </c>
      <c r="AC120" s="68">
        <f t="shared" si="192"/>
        <v>1543.5</v>
      </c>
      <c r="AD120" s="68">
        <f t="shared" si="192"/>
        <v>1425.3999999999996</v>
      </c>
      <c r="AE120" s="68">
        <f t="shared" si="192"/>
        <v>2296.3999999999996</v>
      </c>
      <c r="AF120" s="68">
        <f t="shared" si="192"/>
        <v>1568.1000000000004</v>
      </c>
      <c r="AG120" s="68">
        <f t="shared" si="192"/>
        <v>2356.7999999999993</v>
      </c>
      <c r="AH120" s="68">
        <f t="shared" si="192"/>
        <v>4188.2999999999993</v>
      </c>
      <c r="AI120" s="68">
        <f t="shared" si="192"/>
        <v>4503.1000000000004</v>
      </c>
      <c r="AJ120" s="44"/>
      <c r="AK120" s="44">
        <f t="shared" ref="AK120:BY120" si="193">AK117-AK118-AK119</f>
        <v>4960.1000000000004</v>
      </c>
      <c r="AL120" s="44">
        <f t="shared" si="193"/>
        <v>4871.7999999999993</v>
      </c>
      <c r="AM120" s="44">
        <f t="shared" si="193"/>
        <v>6482.6</v>
      </c>
      <c r="AN120" s="44">
        <f t="shared" si="193"/>
        <v>5025.2000000000007</v>
      </c>
      <c r="AO120" s="44">
        <f t="shared" si="193"/>
        <v>5174.7999999999993</v>
      </c>
      <c r="AP120" s="44">
        <f t="shared" si="193"/>
        <v>3913.7000000000007</v>
      </c>
      <c r="AQ120" s="44">
        <f t="shared" si="193"/>
        <v>5735</v>
      </c>
      <c r="AR120" s="44">
        <f t="shared" si="193"/>
        <v>3591</v>
      </c>
      <c r="AS120" s="44">
        <f t="shared" si="193"/>
        <v>4772</v>
      </c>
      <c r="AT120" s="44">
        <f t="shared" si="193"/>
        <v>4032</v>
      </c>
      <c r="AU120" s="44">
        <f t="shared" si="193"/>
        <v>5654.8029999999999</v>
      </c>
      <c r="AV120" s="44">
        <f t="shared" si="193"/>
        <v>5164.6540000000005</v>
      </c>
      <c r="AW120" s="44">
        <f t="shared" si="193"/>
        <v>5201</v>
      </c>
      <c r="AX120" s="44">
        <f t="shared" si="193"/>
        <v>5145</v>
      </c>
      <c r="AY120" s="44">
        <f t="shared" si="193"/>
        <v>5783.65</v>
      </c>
      <c r="AZ120" s="44">
        <f t="shared" si="193"/>
        <v>5143.6149999999998</v>
      </c>
      <c r="BA120" s="44">
        <f t="shared" si="193"/>
        <v>4972</v>
      </c>
      <c r="BB120" s="44">
        <f t="shared" si="193"/>
        <v>5490</v>
      </c>
      <c r="BC120" s="44">
        <f t="shared" si="193"/>
        <v>7607</v>
      </c>
      <c r="BD120" s="44">
        <f t="shared" si="193"/>
        <v>7747</v>
      </c>
      <c r="BE120" s="44">
        <f t="shared" si="193"/>
        <v>6995</v>
      </c>
      <c r="BF120" s="44">
        <f t="shared" si="193"/>
        <v>5972</v>
      </c>
      <c r="BG120" s="44">
        <f t="shared" si="193"/>
        <v>6955</v>
      </c>
      <c r="BH120" s="44">
        <f t="shared" si="193"/>
        <v>7485</v>
      </c>
      <c r="BI120" s="44">
        <f t="shared" si="193"/>
        <v>7323</v>
      </c>
      <c r="BJ120" s="65">
        <f t="shared" si="193"/>
        <v>5710</v>
      </c>
      <c r="BK120" s="65">
        <f t="shared" si="193"/>
        <v>6678</v>
      </c>
      <c r="BL120" s="65">
        <f t="shared" si="193"/>
        <v>6791</v>
      </c>
      <c r="BM120" s="65">
        <f t="shared" si="193"/>
        <v>5747</v>
      </c>
      <c r="BN120" s="65">
        <f t="shared" si="193"/>
        <v>5481</v>
      </c>
      <c r="BO120" s="65">
        <f t="shared" si="193"/>
        <v>5683</v>
      </c>
      <c r="BP120" s="65">
        <f t="shared" si="193"/>
        <v>5708</v>
      </c>
      <c r="BQ120" s="65">
        <f t="shared" si="193"/>
        <v>5422</v>
      </c>
      <c r="BR120" s="65">
        <f t="shared" si="193"/>
        <v>5274</v>
      </c>
      <c r="BS120" s="115">
        <f t="shared" si="193"/>
        <v>4773</v>
      </c>
      <c r="BT120" s="65">
        <f t="shared" si="193"/>
        <v>5353</v>
      </c>
      <c r="BU120" s="65">
        <f t="shared" si="193"/>
        <v>5380.8</v>
      </c>
      <c r="BV120" s="65">
        <f t="shared" si="193"/>
        <v>4834.3500000000004</v>
      </c>
      <c r="BW120" s="115">
        <f t="shared" si="193"/>
        <v>4180</v>
      </c>
      <c r="BX120" s="65">
        <f t="shared" si="193"/>
        <v>4665</v>
      </c>
      <c r="BY120" s="65">
        <f t="shared" si="193"/>
        <v>4979</v>
      </c>
      <c r="BZ120" s="65">
        <f>+BZ117-BZ118-BZ119</f>
        <v>4128</v>
      </c>
      <c r="CA120" s="65">
        <f>+CA117-CA118-CA119</f>
        <v>5349</v>
      </c>
      <c r="CB120" s="65">
        <f>+CB117-CB118-CB119</f>
        <v>4752</v>
      </c>
      <c r="CC120" s="65">
        <f>+CC117-CC118-CC119</f>
        <v>4686</v>
      </c>
      <c r="CD120" s="115">
        <f t="shared" ref="CD120:CJ120" si="194">CD117-CD118-CD119</f>
        <v>3672</v>
      </c>
      <c r="CE120" s="115">
        <f t="shared" si="194"/>
        <v>12780</v>
      </c>
      <c r="CF120" s="115">
        <f t="shared" si="194"/>
        <v>5138</v>
      </c>
      <c r="CG120" s="115">
        <f t="shared" si="194"/>
        <v>5141</v>
      </c>
      <c r="CH120" s="115">
        <f t="shared" si="194"/>
        <v>4020</v>
      </c>
      <c r="CI120" s="115">
        <f t="shared" si="194"/>
        <v>12906</v>
      </c>
      <c r="CJ120" s="115">
        <f t="shared" si="194"/>
        <v>5291</v>
      </c>
      <c r="CK120" s="115">
        <f t="shared" ref="CK120:CS120" si="195">CK117-CK118-CK119</f>
        <v>5155</v>
      </c>
      <c r="CL120" s="115">
        <f t="shared" si="195"/>
        <v>4564</v>
      </c>
      <c r="CM120" s="115">
        <f t="shared" si="195"/>
        <v>5662</v>
      </c>
      <c r="CN120" s="115">
        <f t="shared" si="195"/>
        <v>5118</v>
      </c>
      <c r="CO120" s="115">
        <f t="shared" si="195"/>
        <v>5087</v>
      </c>
      <c r="CP120" s="115">
        <f t="shared" si="195"/>
        <v>3534</v>
      </c>
      <c r="CQ120" s="115">
        <f t="shared" si="195"/>
        <v>5211</v>
      </c>
      <c r="CR120" s="115">
        <f t="shared" si="195"/>
        <v>4860</v>
      </c>
      <c r="CS120" s="115">
        <f t="shared" si="195"/>
        <v>3312</v>
      </c>
      <c r="CT120" s="115">
        <f t="shared" ref="CT120:DB120" si="196">CT117-CT118-CT119</f>
        <v>2139</v>
      </c>
      <c r="CU120" s="115">
        <f t="shared" si="196"/>
        <v>5753.5999999999985</v>
      </c>
      <c r="CV120" s="115">
        <f t="shared" si="196"/>
        <v>6935</v>
      </c>
      <c r="CW120" s="115">
        <f t="shared" si="196"/>
        <v>8792</v>
      </c>
      <c r="CX120" s="115">
        <f t="shared" si="196"/>
        <v>6682</v>
      </c>
      <c r="CY120" s="115">
        <f t="shared" si="196"/>
        <v>10912.399999999998</v>
      </c>
      <c r="CZ120" s="115">
        <f t="shared" si="196"/>
        <v>13406.80000000001</v>
      </c>
      <c r="DA120" s="115">
        <f t="shared" si="196"/>
        <v>10752.800000000003</v>
      </c>
      <c r="DB120" s="115">
        <f t="shared" si="196"/>
        <v>6872</v>
      </c>
      <c r="DC120" s="115">
        <f t="shared" ref="DC120:DF120" si="197">DC117-DC118-DC119</f>
        <v>8400.4500000000007</v>
      </c>
      <c r="DD120" s="115">
        <f t="shared" si="197"/>
        <v>3425.87</v>
      </c>
      <c r="DE120" s="115">
        <f t="shared" si="197"/>
        <v>3559.9299999999994</v>
      </c>
      <c r="DF120" s="115">
        <f t="shared" si="197"/>
        <v>-257</v>
      </c>
      <c r="DG120" s="115"/>
      <c r="DH120" s="115"/>
      <c r="DI120" s="115"/>
      <c r="DJ120" s="115">
        <f>+DJ117-DJ118-DJ119</f>
        <v>4757</v>
      </c>
      <c r="DK120" s="115">
        <f t="shared" ref="DK120:DN120" si="198">+DK117-DK118-DK119</f>
        <v>7976.5510000000013</v>
      </c>
      <c r="DL120" s="115">
        <f t="shared" si="198"/>
        <v>7424.1640000000007</v>
      </c>
      <c r="DM120" s="115">
        <f t="shared" si="198"/>
        <v>8782.6970000000001</v>
      </c>
      <c r="DN120" s="115">
        <f t="shared" si="198"/>
        <v>8904.0379999999986</v>
      </c>
      <c r="DO120" s="115"/>
      <c r="DP120" s="65"/>
      <c r="DQ120" s="65"/>
      <c r="DU120" s="44"/>
      <c r="DV120" s="44">
        <f t="shared" ref="DV120:EN120" si="199">DV117-DV118-DV119</f>
        <v>1945</v>
      </c>
      <c r="DW120" s="44">
        <f t="shared" si="199"/>
        <v>2560</v>
      </c>
      <c r="DX120" s="44">
        <f t="shared" si="199"/>
        <v>3080</v>
      </c>
      <c r="DY120" s="44">
        <f t="shared" si="199"/>
        <v>3346</v>
      </c>
      <c r="DZ120" s="44">
        <f t="shared" si="199"/>
        <v>3603</v>
      </c>
      <c r="EA120" s="44">
        <f t="shared" si="199"/>
        <v>7066.0936936936923</v>
      </c>
      <c r="EB120" s="44">
        <f t="shared" si="199"/>
        <v>8790</v>
      </c>
      <c r="EC120" s="44">
        <f t="shared" si="199"/>
        <v>8157</v>
      </c>
      <c r="ED120" s="44">
        <f t="shared" si="199"/>
        <v>2258</v>
      </c>
      <c r="EE120" s="44">
        <f t="shared" si="199"/>
        <v>1004</v>
      </c>
      <c r="EF120" s="44">
        <f t="shared" si="199"/>
        <v>6053</v>
      </c>
      <c r="EG120" s="44">
        <f t="shared" si="199"/>
        <v>4568</v>
      </c>
      <c r="EH120" s="44">
        <f t="shared" si="199"/>
        <v>5616</v>
      </c>
      <c r="EI120" s="44">
        <f t="shared" si="199"/>
        <v>4170.5360000000001</v>
      </c>
      <c r="EJ120" s="44">
        <f t="shared" si="199"/>
        <v>22267.264999999999</v>
      </c>
      <c r="EK120" s="44">
        <f t="shared" si="199"/>
        <v>21389.264999999999</v>
      </c>
      <c r="EL120" s="68">
        <f t="shared" si="199"/>
        <v>28321</v>
      </c>
      <c r="EM120" s="68">
        <f t="shared" si="199"/>
        <v>27660</v>
      </c>
      <c r="EN120" s="68">
        <f t="shared" si="199"/>
        <v>24697</v>
      </c>
      <c r="EQ120" s="68"/>
      <c r="EV120" s="68">
        <f>+EV117-EV118-EV119</f>
        <v>15522</v>
      </c>
      <c r="EW120" s="68">
        <f>+EW117-EW118-EW119</f>
        <v>28162.600000000006</v>
      </c>
      <c r="EX120" s="68">
        <f>+EX117-EX118-EX119</f>
        <v>41481.999999999985</v>
      </c>
      <c r="EY120" s="68">
        <f t="shared" ref="EY120" si="200">+EY117-EY118-EY119</f>
        <v>13558.249999999998</v>
      </c>
      <c r="EZ120" s="68">
        <f t="shared" ref="EZ120" si="201">+EZ117-EZ118-EZ119</f>
        <v>24184.684999999998</v>
      </c>
      <c r="FA120" s="68">
        <f t="shared" ref="FA120" si="202">+FA117-FA118-FA119</f>
        <v>33087.44999999999</v>
      </c>
      <c r="FB120" s="68">
        <f t="shared" ref="FB120" si="203">+FB117-FB118-FB119</f>
        <v>27401.999625000008</v>
      </c>
      <c r="FC120" s="68">
        <f t="shared" ref="FC120" si="204">+FC117-FC118-FC119</f>
        <v>25359.094095600009</v>
      </c>
      <c r="FD120" s="68">
        <f t="shared" ref="FD120" si="205">+FD117-FD118-FD119</f>
        <v>24112.910575017013</v>
      </c>
      <c r="FE120" s="68">
        <f t="shared" ref="FE120" si="206">+FE117-FE118-FE119</f>
        <v>17441.463357210916</v>
      </c>
      <c r="FF120" s="68">
        <f t="shared" ref="FF120:FK120" si="207">+FF117-FF118-FF119</f>
        <v>16295.557345491317</v>
      </c>
      <c r="FG120" s="68">
        <f t="shared" si="207"/>
        <v>13270.692352861121</v>
      </c>
      <c r="FH120" s="68">
        <f t="shared" si="207"/>
        <v>12647.111847361019</v>
      </c>
      <c r="FI120" s="68">
        <f t="shared" si="207"/>
        <v>12173.345598096563</v>
      </c>
      <c r="FJ120" s="68">
        <f t="shared" si="207"/>
        <v>11809.206616210293</v>
      </c>
      <c r="FK120" s="68">
        <f t="shared" si="207"/>
        <v>11533.425077597502</v>
      </c>
      <c r="FL120" s="68"/>
      <c r="FM120" s="68"/>
      <c r="FN120" s="68"/>
      <c r="FO120" s="68"/>
      <c r="FQ120" s="87">
        <f>SUM(FQ1:FQ119)</f>
        <v>32743.599999999999</v>
      </c>
      <c r="FR120" s="45">
        <f>SUM(FR1:FR119)</f>
        <v>19547.406999999996</v>
      </c>
      <c r="FS120" s="88">
        <f>SUM(FS1:FS119)</f>
        <v>15085.513110000002</v>
      </c>
    </row>
    <row r="121" spans="2:211">
      <c r="B121" s="4" t="s">
        <v>798</v>
      </c>
      <c r="T121" s="37">
        <v>0</v>
      </c>
      <c r="AP121" s="62"/>
      <c r="BK121" s="69">
        <v>-313</v>
      </c>
      <c r="BL121" s="44">
        <v>-144</v>
      </c>
      <c r="BM121" s="44">
        <v>-186</v>
      </c>
      <c r="BN121" s="44">
        <v>-181</v>
      </c>
      <c r="BO121" s="44">
        <f>-264-43</f>
        <v>-307</v>
      </c>
      <c r="BP121" s="44">
        <f>-99-43</f>
        <v>-142</v>
      </c>
      <c r="BQ121" s="44">
        <v>-42</v>
      </c>
      <c r="BR121" s="44">
        <v>201</v>
      </c>
      <c r="BS121" s="115">
        <f>92-321+248</f>
        <v>19</v>
      </c>
      <c r="BT121" s="44">
        <v>95</v>
      </c>
      <c r="BU121" s="44"/>
      <c r="BV121" s="44"/>
      <c r="BW121" s="115">
        <v>167</v>
      </c>
      <c r="BX121" s="44">
        <v>153</v>
      </c>
      <c r="BY121" s="115">
        <v>90</v>
      </c>
      <c r="BZ121" s="44">
        <v>-1</v>
      </c>
      <c r="CA121" s="44">
        <v>149</v>
      </c>
      <c r="CB121" s="44">
        <v>1068</v>
      </c>
      <c r="CC121" s="44">
        <v>168</v>
      </c>
      <c r="CD121" s="44">
        <v>182</v>
      </c>
      <c r="CE121" s="44"/>
      <c r="CF121" s="44">
        <v>179</v>
      </c>
      <c r="CG121" s="44">
        <v>261</v>
      </c>
      <c r="CH121" s="44">
        <v>180</v>
      </c>
      <c r="CI121" s="44"/>
      <c r="CJ121" s="44">
        <v>519</v>
      </c>
      <c r="CK121" s="44">
        <v>217</v>
      </c>
      <c r="CL121" s="44">
        <v>-15</v>
      </c>
      <c r="CM121" s="115">
        <v>135</v>
      </c>
      <c r="CN121" s="115">
        <v>100</v>
      </c>
      <c r="CO121" s="115">
        <v>-32</v>
      </c>
      <c r="CP121" s="115">
        <v>97</v>
      </c>
      <c r="CQ121" s="115">
        <v>186</v>
      </c>
      <c r="CR121" s="115">
        <v>361</v>
      </c>
      <c r="CS121" s="115">
        <v>1878</v>
      </c>
      <c r="CT121" s="115">
        <v>-102</v>
      </c>
      <c r="CU121" s="115">
        <f>-336+176+62</f>
        <v>-98</v>
      </c>
      <c r="CV121" s="115">
        <f>-303+212+140</f>
        <v>49</v>
      </c>
      <c r="CW121" s="115">
        <v>1696</v>
      </c>
      <c r="CX121" s="115">
        <v>728</v>
      </c>
      <c r="CY121" s="115">
        <f>-308+173+184</f>
        <v>49</v>
      </c>
      <c r="CZ121" s="115">
        <f>-46+149</f>
        <v>103</v>
      </c>
      <c r="DA121" s="115">
        <v>515</v>
      </c>
      <c r="DB121" s="115">
        <v>656</v>
      </c>
      <c r="DC121" s="115">
        <v>350</v>
      </c>
      <c r="DD121" s="115">
        <v>350</v>
      </c>
      <c r="DE121" s="115">
        <v>350</v>
      </c>
      <c r="DF121" s="115">
        <v>494</v>
      </c>
      <c r="DG121" s="115"/>
      <c r="DH121" s="115"/>
      <c r="DI121" s="115">
        <v>-243</v>
      </c>
      <c r="DJ121" s="115">
        <v>-234</v>
      </c>
      <c r="DK121" s="115"/>
      <c r="DL121" s="115"/>
      <c r="DM121" s="115"/>
      <c r="DN121" s="115"/>
      <c r="DO121" s="115"/>
      <c r="DP121" s="44"/>
      <c r="DQ121" s="44"/>
      <c r="DV121" s="37">
        <v>-123</v>
      </c>
      <c r="DW121" s="37">
        <v>-158</v>
      </c>
      <c r="DX121" s="37">
        <v>-135</v>
      </c>
      <c r="DY121" s="37">
        <v>-156</v>
      </c>
      <c r="DZ121" s="37">
        <v>-185</v>
      </c>
      <c r="EA121" s="37">
        <v>-427</v>
      </c>
      <c r="EB121" s="37">
        <v>-558</v>
      </c>
      <c r="EC121" s="37">
        <v>-539</v>
      </c>
      <c r="ED121" s="37">
        <v>-382</v>
      </c>
      <c r="EE121" s="37">
        <v>-346</v>
      </c>
      <c r="EF121" s="37">
        <v>-299</v>
      </c>
      <c r="EG121" s="37">
        <v>-300</v>
      </c>
      <c r="EH121" s="44">
        <v>904</v>
      </c>
      <c r="EI121" s="44">
        <f>SUM(AQ123:AT123)</f>
        <v>1538</v>
      </c>
      <c r="EJ121" s="44">
        <f>SUM(AU121:AX121)</f>
        <v>0</v>
      </c>
      <c r="EN121" s="44">
        <f>SUM(BK121:BN121)</f>
        <v>-824</v>
      </c>
      <c r="EV121" s="44">
        <f>SUM(CQ121:CT121)</f>
        <v>2323</v>
      </c>
      <c r="EW121" s="44">
        <f t="shared" si="181"/>
        <v>2375</v>
      </c>
      <c r="EX121" s="44">
        <f>SUM(CY121:DB121)</f>
        <v>1323</v>
      </c>
      <c r="EY121" s="44">
        <f>SUM(DC121:DF121)</f>
        <v>1544</v>
      </c>
      <c r="EZ121" s="44">
        <f>+EY121*0.9</f>
        <v>1389.6000000000001</v>
      </c>
      <c r="FA121" s="44">
        <f t="shared" si="159"/>
        <v>0</v>
      </c>
      <c r="FB121" s="44">
        <f t="shared" ref="FA121:FF121" si="208">+FA121*0.9</f>
        <v>0</v>
      </c>
      <c r="FC121" s="44">
        <f t="shared" si="208"/>
        <v>0</v>
      </c>
      <c r="FD121" s="44">
        <f t="shared" si="208"/>
        <v>0</v>
      </c>
      <c r="FE121" s="44">
        <f t="shared" si="208"/>
        <v>0</v>
      </c>
      <c r="FF121" s="44">
        <f t="shared" si="208"/>
        <v>0</v>
      </c>
      <c r="FG121" s="44">
        <f t="shared" ref="FG121" si="209">+FF121*0.9</f>
        <v>0</v>
      </c>
      <c r="FH121" s="44">
        <f t="shared" ref="FH121" si="210">+FG121*0.9</f>
        <v>0</v>
      </c>
      <c r="FI121" s="44">
        <f t="shared" ref="FI121" si="211">+FH121*0.9</f>
        <v>0</v>
      </c>
      <c r="FJ121" s="44">
        <f t="shared" ref="FJ121" si="212">+FI121*0.9</f>
        <v>0</v>
      </c>
      <c r="FK121" s="44">
        <f t="shared" ref="FK121" si="213">+FJ121*0.9</f>
        <v>0</v>
      </c>
    </row>
    <row r="122" spans="2:211">
      <c r="B122" s="4" t="s">
        <v>799</v>
      </c>
      <c r="T122" s="37">
        <v>0</v>
      </c>
      <c r="AP122" s="62"/>
      <c r="BY122" s="44">
        <f t="shared" ref="BY122:CD122" si="214">+BY120+BY121</f>
        <v>5069</v>
      </c>
      <c r="BZ122" s="44">
        <f t="shared" si="214"/>
        <v>4127</v>
      </c>
      <c r="CA122" s="44">
        <f t="shared" si="214"/>
        <v>5498</v>
      </c>
      <c r="CB122" s="44">
        <f t="shared" si="214"/>
        <v>5820</v>
      </c>
      <c r="CC122" s="44">
        <f t="shared" si="214"/>
        <v>4854</v>
      </c>
      <c r="CD122" s="44">
        <f t="shared" si="214"/>
        <v>3854</v>
      </c>
      <c r="CE122" s="44">
        <f t="shared" ref="CE122:CH122" si="215">+CE120+CE121</f>
        <v>12780</v>
      </c>
      <c r="CF122" s="44">
        <f t="shared" si="215"/>
        <v>5317</v>
      </c>
      <c r="CG122" s="44">
        <f t="shared" si="215"/>
        <v>5402</v>
      </c>
      <c r="CH122" s="44">
        <f t="shared" si="215"/>
        <v>4200</v>
      </c>
      <c r="CM122" s="113"/>
      <c r="DV122" s="37">
        <v>127</v>
      </c>
      <c r="DW122" s="37">
        <v>192</v>
      </c>
      <c r="DX122" s="37">
        <v>165</v>
      </c>
      <c r="DY122" s="37">
        <v>147</v>
      </c>
      <c r="DZ122" s="37">
        <v>136</v>
      </c>
      <c r="EA122" s="37">
        <v>363</v>
      </c>
      <c r="EB122" s="37">
        <v>386</v>
      </c>
      <c r="EC122" s="37">
        <v>266</v>
      </c>
      <c r="ED122" s="37">
        <v>251</v>
      </c>
      <c r="EE122" s="37">
        <v>270</v>
      </c>
      <c r="EF122" s="37">
        <v>299</v>
      </c>
      <c r="EG122" s="37">
        <v>263</v>
      </c>
      <c r="EH122" s="44">
        <v>0</v>
      </c>
      <c r="EI122" s="44">
        <v>0</v>
      </c>
      <c r="EJ122" s="44">
        <v>0</v>
      </c>
      <c r="FU122" s="14"/>
    </row>
    <row r="123" spans="2:211">
      <c r="B123" s="4" t="s">
        <v>800</v>
      </c>
      <c r="T123" s="37">
        <f>-13-9</f>
        <v>-22</v>
      </c>
      <c r="AK123" s="37">
        <v>163</v>
      </c>
      <c r="AL123" s="37">
        <v>323</v>
      </c>
      <c r="AM123" s="37">
        <f>221-4</f>
        <v>217</v>
      </c>
      <c r="AN123" s="37">
        <f>363-3</f>
        <v>360</v>
      </c>
      <c r="AO123" s="37">
        <v>343</v>
      </c>
      <c r="AP123" s="62">
        <v>54</v>
      </c>
      <c r="AQ123" s="37">
        <v>402</v>
      </c>
      <c r="AR123" s="37">
        <f>487-63</f>
        <v>424</v>
      </c>
      <c r="AS123" s="37">
        <v>319</v>
      </c>
      <c r="AT123" s="37">
        <v>393</v>
      </c>
      <c r="AU123" s="37">
        <v>333</v>
      </c>
      <c r="AV123" s="37">
        <v>190</v>
      </c>
      <c r="AW123" s="37">
        <v>220</v>
      </c>
      <c r="AX123" s="37">
        <v>643</v>
      </c>
      <c r="AY123" s="37">
        <v>57</v>
      </c>
      <c r="AZ123" s="37">
        <v>192</v>
      </c>
      <c r="BA123" s="37">
        <v>142</v>
      </c>
      <c r="BB123" s="37">
        <v>-110</v>
      </c>
      <c r="BC123" s="37">
        <v>-210</v>
      </c>
      <c r="BD123" s="37">
        <v>-157</v>
      </c>
      <c r="BE123" s="37">
        <v>-131</v>
      </c>
      <c r="BF123" s="37">
        <v>-107</v>
      </c>
      <c r="BG123" s="37">
        <v>-178</v>
      </c>
      <c r="BH123" s="37">
        <v>-13</v>
      </c>
      <c r="BI123" s="37">
        <v>-246</v>
      </c>
      <c r="BJ123" s="69">
        <v>-105</v>
      </c>
      <c r="CM123" s="113"/>
      <c r="DV123" s="37">
        <v>97</v>
      </c>
      <c r="DW123" s="37">
        <v>181</v>
      </c>
      <c r="DX123" s="37">
        <v>177</v>
      </c>
      <c r="DY123" s="37">
        <v>171</v>
      </c>
      <c r="DZ123" s="37">
        <v>1029</v>
      </c>
      <c r="EA123" s="37">
        <v>59</v>
      </c>
      <c r="EB123" s="37">
        <v>-137</v>
      </c>
      <c r="EC123" s="37">
        <v>-155</v>
      </c>
      <c r="ED123" s="37">
        <v>-84</v>
      </c>
      <c r="EE123" s="37">
        <v>-517</v>
      </c>
      <c r="EF123" s="37">
        <v>-198</v>
      </c>
      <c r="EG123" s="37">
        <v>-400</v>
      </c>
      <c r="EH123" s="44">
        <v>0</v>
      </c>
      <c r="EI123" s="44">
        <v>0</v>
      </c>
      <c r="EJ123" s="44">
        <f>SUM(AU123:AX123)</f>
        <v>1386</v>
      </c>
      <c r="EK123" s="44">
        <f>SUM(AY123:BB123)</f>
        <v>281</v>
      </c>
      <c r="EL123" s="44">
        <f>SUM(BC123:BF123)</f>
        <v>-605</v>
      </c>
      <c r="EM123" s="44">
        <f>EL123</f>
        <v>-605</v>
      </c>
    </row>
    <row r="124" spans="2:211">
      <c r="B124" s="4" t="s">
        <v>801</v>
      </c>
      <c r="C124" s="44"/>
      <c r="D124" s="44"/>
      <c r="E124" s="44"/>
      <c r="F124" s="44"/>
      <c r="G124" s="44"/>
      <c r="H124" s="44"/>
      <c r="I124" s="44"/>
      <c r="J124" s="44"/>
      <c r="K124" s="44"/>
      <c r="L124" s="44"/>
      <c r="M124" s="44"/>
      <c r="N124" s="44"/>
      <c r="O124" s="44"/>
      <c r="P124" s="44"/>
      <c r="Q124" s="44"/>
      <c r="R124" s="44"/>
      <c r="S124" s="44"/>
      <c r="T124" s="44">
        <f>T120+T121-T122+T123</f>
        <v>-394</v>
      </c>
      <c r="AE124" s="44"/>
      <c r="AF124" s="44"/>
      <c r="AG124" s="44"/>
      <c r="AH124" s="44"/>
      <c r="AK124" s="44">
        <f t="shared" ref="AK124:AL124" si="216">AK120+AK123</f>
        <v>5123.1000000000004</v>
      </c>
      <c r="AL124" s="44">
        <f t="shared" si="216"/>
        <v>5194.7999999999993</v>
      </c>
      <c r="AM124" s="44">
        <f t="shared" ref="AM124:AT124" si="217">AM120+AM123</f>
        <v>6699.6</v>
      </c>
      <c r="AN124" s="44">
        <f t="shared" si="217"/>
        <v>5385.2000000000007</v>
      </c>
      <c r="AO124" s="44">
        <f t="shared" si="217"/>
        <v>5517.7999999999993</v>
      </c>
      <c r="AP124" s="68">
        <f t="shared" si="217"/>
        <v>3967.7000000000007</v>
      </c>
      <c r="AQ124" s="68">
        <f t="shared" si="217"/>
        <v>6137</v>
      </c>
      <c r="AR124" s="68">
        <f t="shared" si="217"/>
        <v>4015</v>
      </c>
      <c r="AS124" s="68">
        <f t="shared" si="217"/>
        <v>5091</v>
      </c>
      <c r="AT124" s="68">
        <f t="shared" si="217"/>
        <v>4425</v>
      </c>
      <c r="AU124" s="68">
        <f t="shared" ref="AU124:BB124" si="218">AU120+AU123</f>
        <v>5987.8029999999999</v>
      </c>
      <c r="AV124" s="68">
        <f t="shared" si="218"/>
        <v>5354.6540000000005</v>
      </c>
      <c r="AW124" s="68">
        <f t="shared" si="218"/>
        <v>5421</v>
      </c>
      <c r="AX124" s="68">
        <f t="shared" si="218"/>
        <v>5788</v>
      </c>
      <c r="AY124" s="68">
        <f t="shared" si="218"/>
        <v>5840.65</v>
      </c>
      <c r="AZ124" s="68">
        <f t="shared" si="218"/>
        <v>5335.6149999999998</v>
      </c>
      <c r="BA124" s="68">
        <f t="shared" si="218"/>
        <v>5114</v>
      </c>
      <c r="BB124" s="68">
        <f t="shared" si="218"/>
        <v>5380</v>
      </c>
      <c r="BC124" s="68">
        <f>BC120+BC123</f>
        <v>7397</v>
      </c>
      <c r="BD124" s="68">
        <f>BD120+BD123</f>
        <v>7590</v>
      </c>
      <c r="BE124" s="68">
        <f>BE120+BE123</f>
        <v>6864</v>
      </c>
      <c r="BF124" s="68">
        <f>BF120+BF123</f>
        <v>5865</v>
      </c>
      <c r="BG124" s="68">
        <f>BG120+BG123</f>
        <v>6777</v>
      </c>
      <c r="BH124" s="68">
        <f>BH123+BH120</f>
        <v>7472</v>
      </c>
      <c r="BI124" s="68">
        <f t="shared" ref="BI124:BJ124" si="219">BI123+BI120</f>
        <v>7077</v>
      </c>
      <c r="BJ124" s="70">
        <f t="shared" si="219"/>
        <v>5605</v>
      </c>
      <c r="BK124" s="68">
        <f>BK120+BK121</f>
        <v>6365</v>
      </c>
      <c r="BL124" s="68">
        <f t="shared" ref="BL124:BR124" si="220">BL120+BL121</f>
        <v>6647</v>
      </c>
      <c r="BM124" s="68">
        <f t="shared" si="220"/>
        <v>5561</v>
      </c>
      <c r="BN124" s="68">
        <f t="shared" si="220"/>
        <v>5300</v>
      </c>
      <c r="BO124" s="68">
        <f t="shared" si="220"/>
        <v>5376</v>
      </c>
      <c r="BP124" s="68">
        <f t="shared" si="220"/>
        <v>5566</v>
      </c>
      <c r="BQ124" s="68">
        <f t="shared" si="220"/>
        <v>5380</v>
      </c>
      <c r="BR124" s="68">
        <f t="shared" si="220"/>
        <v>5475</v>
      </c>
      <c r="BS124" s="122">
        <f t="shared" ref="BS124:BX124" si="221">BS120+BS121</f>
        <v>4792</v>
      </c>
      <c r="BT124" s="68">
        <f t="shared" si="221"/>
        <v>5448</v>
      </c>
      <c r="BU124" s="68">
        <f t="shared" si="221"/>
        <v>5380.8</v>
      </c>
      <c r="BV124" s="68">
        <f t="shared" si="221"/>
        <v>4834.3500000000004</v>
      </c>
      <c r="BW124" s="122">
        <f t="shared" si="221"/>
        <v>4347</v>
      </c>
      <c r="BX124" s="68">
        <f t="shared" si="221"/>
        <v>4818</v>
      </c>
      <c r="BY124" s="68">
        <f>+BY122</f>
        <v>5069</v>
      </c>
      <c r="BZ124" s="68">
        <f>+BZ122</f>
        <v>4127</v>
      </c>
      <c r="CA124" s="68">
        <f>+CA122</f>
        <v>5498</v>
      </c>
      <c r="CB124" s="68">
        <f>+CB122</f>
        <v>5820</v>
      </c>
      <c r="CC124" s="68">
        <f>+CC122</f>
        <v>4854</v>
      </c>
      <c r="CD124" s="122">
        <f>+CD122-CD123</f>
        <v>3854</v>
      </c>
      <c r="CE124" s="122">
        <f t="shared" ref="CE124:CK124" si="222">CE120+CE121</f>
        <v>12780</v>
      </c>
      <c r="CF124" s="122">
        <f t="shared" si="222"/>
        <v>5317</v>
      </c>
      <c r="CG124" s="122">
        <f t="shared" si="222"/>
        <v>5402</v>
      </c>
      <c r="CH124" s="122">
        <f t="shared" si="222"/>
        <v>4200</v>
      </c>
      <c r="CI124" s="122">
        <f t="shared" si="222"/>
        <v>12906</v>
      </c>
      <c r="CJ124" s="122">
        <f t="shared" si="222"/>
        <v>5810</v>
      </c>
      <c r="CK124" s="122">
        <f t="shared" si="222"/>
        <v>5372</v>
      </c>
      <c r="CL124" s="122">
        <f t="shared" ref="CL124:CN124" si="223">CL120+CL121</f>
        <v>4549</v>
      </c>
      <c r="CM124" s="122">
        <f t="shared" si="223"/>
        <v>5797</v>
      </c>
      <c r="CN124" s="122">
        <f t="shared" si="223"/>
        <v>5218</v>
      </c>
      <c r="CO124" s="122">
        <f t="shared" ref="CO124:CQ124" si="224">CO120+CO121</f>
        <v>5055</v>
      </c>
      <c r="CP124" s="122">
        <f t="shared" si="224"/>
        <v>3631</v>
      </c>
      <c r="CQ124" s="122">
        <f t="shared" si="224"/>
        <v>5397</v>
      </c>
      <c r="CR124" s="122">
        <f t="shared" ref="CR124:CT124" si="225">CR120+CR121</f>
        <v>5221</v>
      </c>
      <c r="CS124" s="122">
        <f t="shared" si="225"/>
        <v>5190</v>
      </c>
      <c r="CT124" s="122">
        <f t="shared" si="225"/>
        <v>2037</v>
      </c>
      <c r="CU124" s="122">
        <f t="shared" ref="CU124:DA124" si="226">CU120+CU121</f>
        <v>5655.5999999999985</v>
      </c>
      <c r="CV124" s="122">
        <f t="shared" si="226"/>
        <v>6984</v>
      </c>
      <c r="CW124" s="122">
        <f t="shared" si="226"/>
        <v>10488</v>
      </c>
      <c r="CX124" s="122">
        <f t="shared" si="226"/>
        <v>7410</v>
      </c>
      <c r="CY124" s="122">
        <f t="shared" si="226"/>
        <v>10961.399999999998</v>
      </c>
      <c r="CZ124" s="122">
        <f t="shared" si="226"/>
        <v>13509.80000000001</v>
      </c>
      <c r="DA124" s="122">
        <f t="shared" si="226"/>
        <v>11267.800000000003</v>
      </c>
      <c r="DB124" s="122">
        <f t="shared" ref="DB124:DI124" si="227">DB120+DB121</f>
        <v>7528</v>
      </c>
      <c r="DC124" s="122">
        <f t="shared" si="227"/>
        <v>8750.4500000000007</v>
      </c>
      <c r="DD124" s="122">
        <f t="shared" si="227"/>
        <v>3775.87</v>
      </c>
      <c r="DE124" s="122">
        <f t="shared" si="227"/>
        <v>3909.9299999999994</v>
      </c>
      <c r="DF124" s="122">
        <f t="shared" si="227"/>
        <v>237</v>
      </c>
      <c r="DG124" s="122">
        <f t="shared" si="227"/>
        <v>0</v>
      </c>
      <c r="DH124" s="122">
        <f t="shared" si="227"/>
        <v>0</v>
      </c>
      <c r="DI124" s="122">
        <f t="shared" si="227"/>
        <v>-243</v>
      </c>
      <c r="DJ124" s="122">
        <f>+DJ120+DJ121</f>
        <v>4523</v>
      </c>
      <c r="DK124" s="122">
        <f>+DK120+DK121</f>
        <v>7976.5510000000013</v>
      </c>
      <c r="DL124" s="122">
        <f>+DL120+DL121</f>
        <v>7424.1640000000007</v>
      </c>
      <c r="DM124" s="122">
        <f>+DM120+DM121</f>
        <v>8782.6970000000001</v>
      </c>
      <c r="DN124" s="122">
        <f>+DN120+DN121</f>
        <v>8904.0379999999986</v>
      </c>
      <c r="DO124" s="122"/>
      <c r="DP124" s="68"/>
      <c r="DQ124" s="68"/>
      <c r="DU124" s="44"/>
      <c r="DV124" s="44">
        <f>DV120+DV121-DV122+DV123</f>
        <v>1792</v>
      </c>
      <c r="DW124" s="44">
        <f t="shared" ref="DW124:ED124" si="228">DW120+DW121-DW122+DW123</f>
        <v>2391</v>
      </c>
      <c r="DX124" s="44">
        <f t="shared" si="228"/>
        <v>2957</v>
      </c>
      <c r="DY124" s="44">
        <f t="shared" si="228"/>
        <v>3214</v>
      </c>
      <c r="DZ124" s="44">
        <f t="shared" si="228"/>
        <v>4311</v>
      </c>
      <c r="EA124" s="44">
        <f t="shared" si="228"/>
        <v>6335.0936936936923</v>
      </c>
      <c r="EB124" s="44">
        <f t="shared" si="228"/>
        <v>7709</v>
      </c>
      <c r="EC124" s="44">
        <f t="shared" si="228"/>
        <v>7197</v>
      </c>
      <c r="ED124" s="44">
        <f t="shared" si="228"/>
        <v>1541</v>
      </c>
      <c r="EE124" s="44">
        <f>EE120+EE121-EE122+EE123</f>
        <v>-129</v>
      </c>
      <c r="EF124" s="44">
        <f>EF120+EF121-EF122+EF123</f>
        <v>5257</v>
      </c>
      <c r="EG124" s="44">
        <f>EG120+EG121-EG122+EG123</f>
        <v>3605</v>
      </c>
      <c r="EH124" s="44">
        <f>EH120+EH121-EH122+EH123</f>
        <v>6520</v>
      </c>
      <c r="EI124" s="44">
        <f t="shared" ref="EI124:EM124" si="229">EI120+EI121-EI122+EI123</f>
        <v>5708.5360000000001</v>
      </c>
      <c r="EJ124" s="44">
        <f>EJ120+EJ121-EJ122+EJ123</f>
        <v>23653.264999999999</v>
      </c>
      <c r="EK124" s="44">
        <f>EK120+EK121-EK122+EK123</f>
        <v>21670.264999999999</v>
      </c>
      <c r="EL124" s="44">
        <f t="shared" si="229"/>
        <v>27716</v>
      </c>
      <c r="EM124" s="44">
        <f t="shared" si="229"/>
        <v>27055</v>
      </c>
      <c r="EN124" s="44">
        <f>EN120+EN121-EN122+EN123</f>
        <v>23873</v>
      </c>
      <c r="EV124" s="44">
        <f>+EV120+EV121</f>
        <v>17845</v>
      </c>
      <c r="EW124" s="44">
        <f>+EW120+EW121</f>
        <v>30537.600000000006</v>
      </c>
      <c r="EX124" s="44">
        <f>+EX120+EX121</f>
        <v>42804.999999999985</v>
      </c>
      <c r="EY124" s="44">
        <f>+EY120+EY121</f>
        <v>15102.249999999998</v>
      </c>
      <c r="EZ124" s="44">
        <f t="shared" ref="EZ124:FF124" si="230">+EZ120+EZ121</f>
        <v>25574.284999999996</v>
      </c>
      <c r="FA124" s="44">
        <f t="shared" si="230"/>
        <v>33087.44999999999</v>
      </c>
      <c r="FB124" s="44">
        <f t="shared" si="230"/>
        <v>27401.999625000008</v>
      </c>
      <c r="FC124" s="44">
        <f t="shared" si="230"/>
        <v>25359.094095600009</v>
      </c>
      <c r="FD124" s="44">
        <f t="shared" si="230"/>
        <v>24112.910575017013</v>
      </c>
      <c r="FE124" s="44">
        <f t="shared" si="230"/>
        <v>17441.463357210916</v>
      </c>
      <c r="FF124" s="44">
        <f t="shared" si="230"/>
        <v>16295.557345491317</v>
      </c>
      <c r="FG124" s="44">
        <f t="shared" ref="FG124:FK124" si="231">+FG120+FG121</f>
        <v>13270.692352861121</v>
      </c>
      <c r="FH124" s="44">
        <f t="shared" si="231"/>
        <v>12647.111847361019</v>
      </c>
      <c r="FI124" s="44">
        <f t="shared" si="231"/>
        <v>12173.345598096563</v>
      </c>
      <c r="FJ124" s="44">
        <f t="shared" si="231"/>
        <v>11809.206616210293</v>
      </c>
      <c r="FK124" s="44">
        <f t="shared" si="231"/>
        <v>11533.425077597502</v>
      </c>
    </row>
    <row r="125" spans="2:211">
      <c r="B125" s="4" t="s">
        <v>802</v>
      </c>
      <c r="T125" s="37">
        <v>590</v>
      </c>
      <c r="AE125" s="44"/>
      <c r="AF125" s="44"/>
      <c r="AG125" s="44"/>
      <c r="AH125" s="44"/>
      <c r="AK125" s="44">
        <f>591+4</f>
        <v>595</v>
      </c>
      <c r="AL125" s="44">
        <f>610+7</f>
        <v>617</v>
      </c>
      <c r="AM125" s="44">
        <v>262</v>
      </c>
      <c r="AN125" s="44">
        <v>1217</v>
      </c>
      <c r="AO125" s="44">
        <v>717</v>
      </c>
      <c r="AP125" s="68">
        <f>AP124*0.217</f>
        <v>860.99090000000012</v>
      </c>
      <c r="AQ125" s="68">
        <f>689+261+4-9+377</f>
        <v>1322</v>
      </c>
      <c r="AR125" s="68">
        <f>272+992</f>
        <v>1264</v>
      </c>
      <c r="AS125" s="68">
        <v>1099</v>
      </c>
      <c r="AT125" s="68">
        <f>798+36</f>
        <v>834</v>
      </c>
      <c r="AU125" s="68">
        <v>1156</v>
      </c>
      <c r="AV125" s="68">
        <f>925+6</f>
        <v>931</v>
      </c>
      <c r="AW125" s="68">
        <f>1199+6</f>
        <v>1205</v>
      </c>
      <c r="AX125" s="68">
        <f>1349+5</f>
        <v>1354</v>
      </c>
      <c r="AY125" s="68">
        <v>1551</v>
      </c>
      <c r="AZ125" s="68">
        <f>1271+5</f>
        <v>1276</v>
      </c>
      <c r="BA125" s="68">
        <f>1616+3</f>
        <v>1619</v>
      </c>
      <c r="BB125" s="68">
        <v>1508</v>
      </c>
      <c r="BC125" s="68">
        <f>2110+9</f>
        <v>2119</v>
      </c>
      <c r="BD125" s="68">
        <v>2301</v>
      </c>
      <c r="BE125" s="68">
        <f>1892+5</f>
        <v>1897</v>
      </c>
      <c r="BF125" s="68">
        <v>1326</v>
      </c>
      <c r="BG125" s="68">
        <f>1866+12</f>
        <v>1878</v>
      </c>
      <c r="BH125" s="68">
        <f>1937+8</f>
        <v>1945</v>
      </c>
      <c r="BI125" s="68">
        <v>2160</v>
      </c>
      <c r="BJ125" s="70">
        <v>1678</v>
      </c>
      <c r="BK125" s="70">
        <v>1821</v>
      </c>
      <c r="BL125" s="68">
        <v>1903</v>
      </c>
      <c r="BM125" s="68">
        <v>1564</v>
      </c>
      <c r="BN125" s="68">
        <v>1579</v>
      </c>
      <c r="BO125" s="68">
        <f>1446+19</f>
        <v>1465</v>
      </c>
      <c r="BP125" s="68">
        <f>1553+10</f>
        <v>1563</v>
      </c>
      <c r="BQ125" s="68">
        <f>1473+11+9</f>
        <v>1493</v>
      </c>
      <c r="BR125" s="68">
        <f>1411+5+57</f>
        <v>1473</v>
      </c>
      <c r="BS125" s="122">
        <v>1227</v>
      </c>
      <c r="BT125" s="68">
        <f>1459+9</f>
        <v>1468</v>
      </c>
      <c r="BU125" s="68">
        <f t="shared" ref="BU125:BV125" si="232">+BU124*0.27</f>
        <v>1452.8160000000003</v>
      </c>
      <c r="BV125" s="68">
        <f t="shared" si="232"/>
        <v>1305.2745000000002</v>
      </c>
      <c r="BW125" s="122">
        <f>6+1033</f>
        <v>1039</v>
      </c>
      <c r="BX125" s="68">
        <f>1213+9</f>
        <v>1222</v>
      </c>
      <c r="BY125" s="122">
        <v>1298</v>
      </c>
      <c r="BZ125" s="68">
        <v>807</v>
      </c>
      <c r="CA125" s="68">
        <v>1304</v>
      </c>
      <c r="CB125" s="68">
        <v>375</v>
      </c>
      <c r="CC125" s="68">
        <v>1058</v>
      </c>
      <c r="CD125" s="68">
        <v>922</v>
      </c>
      <c r="CE125" s="68"/>
      <c r="CF125" s="68">
        <v>1207</v>
      </c>
      <c r="CG125" s="68">
        <v>1267</v>
      </c>
      <c r="CH125" s="68">
        <v>356</v>
      </c>
      <c r="CI125" s="68"/>
      <c r="CJ125" s="68">
        <v>908</v>
      </c>
      <c r="CK125" s="68">
        <f>712+8</f>
        <v>720</v>
      </c>
      <c r="CL125" s="68">
        <v>683</v>
      </c>
      <c r="CM125" s="122">
        <f>875+6</f>
        <v>881</v>
      </c>
      <c r="CN125" s="122">
        <f>923+10</f>
        <v>933</v>
      </c>
      <c r="CO125" s="122">
        <f>763+4</f>
        <v>767</v>
      </c>
      <c r="CP125" s="122">
        <f>398+10</f>
        <v>408</v>
      </c>
      <c r="CQ125" s="122">
        <f>799+9</f>
        <v>808</v>
      </c>
      <c r="CR125" s="122">
        <f>741+8</f>
        <v>749</v>
      </c>
      <c r="CS125" s="122">
        <v>347</v>
      </c>
      <c r="CT125" s="122">
        <v>-80</v>
      </c>
      <c r="CU125" s="122">
        <v>1001</v>
      </c>
      <c r="CV125" s="122">
        <v>1285</v>
      </c>
      <c r="CW125" s="122">
        <f>331+1587</f>
        <v>1918</v>
      </c>
      <c r="CX125" s="122">
        <v>804</v>
      </c>
      <c r="CY125" s="122">
        <v>1975</v>
      </c>
      <c r="CZ125" s="122">
        <v>2120</v>
      </c>
      <c r="DA125" s="122">
        <f>356+109</f>
        <v>465</v>
      </c>
      <c r="DB125" s="122">
        <f>230+8-2+576</f>
        <v>812</v>
      </c>
      <c r="DC125" s="122">
        <f t="shared" ref="DC125:DF125" si="233">+DC124*0.15</f>
        <v>1312.5675000000001</v>
      </c>
      <c r="DD125" s="122">
        <f t="shared" si="233"/>
        <v>566.38049999999998</v>
      </c>
      <c r="DE125" s="122">
        <f t="shared" si="233"/>
        <v>586.48949999999991</v>
      </c>
      <c r="DF125" s="122">
        <f t="shared" si="233"/>
        <v>35.549999999999997</v>
      </c>
      <c r="DG125" s="122"/>
      <c r="DH125" s="122"/>
      <c r="DI125" s="122"/>
      <c r="DJ125" s="122"/>
      <c r="DK125" s="122">
        <f>+DK124*0.15</f>
        <v>1196.4826500000001</v>
      </c>
      <c r="DL125" s="122">
        <f>+DL124*0.15</f>
        <v>1113.6246000000001</v>
      </c>
      <c r="DM125" s="122">
        <f>+DM124*0.15</f>
        <v>1317.40455</v>
      </c>
      <c r="DN125" s="122">
        <f>+DN124*0.15</f>
        <v>1335.6056999999998</v>
      </c>
      <c r="DO125" s="122"/>
      <c r="DP125" s="68"/>
      <c r="DQ125" s="68"/>
      <c r="DU125" s="44"/>
      <c r="DV125" s="44">
        <v>549</v>
      </c>
      <c r="DW125" s="44">
        <v>738</v>
      </c>
      <c r="DX125" s="44">
        <v>869</v>
      </c>
      <c r="DY125" s="44">
        <v>865</v>
      </c>
      <c r="DZ125" s="44">
        <v>642</v>
      </c>
      <c r="EA125" s="44">
        <v>1968</v>
      </c>
      <c r="EB125" s="44">
        <v>2049</v>
      </c>
      <c r="EC125" s="44">
        <v>2433</v>
      </c>
      <c r="ED125" s="44">
        <v>2842</v>
      </c>
      <c r="EE125" s="44">
        <v>3524</v>
      </c>
      <c r="EF125" s="44">
        <v>4489</v>
      </c>
      <c r="EG125" s="44">
        <v>4400</v>
      </c>
      <c r="EH125" s="44">
        <v>4229</v>
      </c>
      <c r="EI125" s="44">
        <f>EI124*EI134</f>
        <v>1198.7925599999999</v>
      </c>
      <c r="EJ125" s="44">
        <f>SUM(AU125:AX125)</f>
        <v>4646</v>
      </c>
      <c r="EK125" s="44">
        <f>SUM(AY125:BB125)</f>
        <v>5954</v>
      </c>
      <c r="EL125" s="44">
        <f>SUM(BC125:BF125)</f>
        <v>7643</v>
      </c>
      <c r="EM125" s="44">
        <f t="shared" ref="EM125:EN125" si="234">EM124*EM134</f>
        <v>7845.95</v>
      </c>
      <c r="EN125" s="44">
        <f t="shared" si="234"/>
        <v>6923.1699999999992</v>
      </c>
      <c r="EV125" s="44">
        <f>SUM(CQ125:CT125)</f>
        <v>1824</v>
      </c>
      <c r="EW125" s="44">
        <f t="shared" ref="EW125" si="235">SUM(CU125:CX125)</f>
        <v>5008</v>
      </c>
      <c r="EX125" s="44">
        <f>SUM(CY125:DB125)</f>
        <v>5372</v>
      </c>
      <c r="EY125" s="44">
        <f>SUM(DC125:DF125)</f>
        <v>2500.9875000000002</v>
      </c>
      <c r="EZ125" s="44">
        <f>+EZ124*0.15</f>
        <v>3836.1427499999991</v>
      </c>
      <c r="FA125" s="44">
        <f t="shared" ref="FA125" si="236">SUM(DK125:DN125)</f>
        <v>4963.1175000000003</v>
      </c>
      <c r="FB125" s="44">
        <f t="shared" ref="FA125:FF125" si="237">+FB124*0.15</f>
        <v>4110.2999437500011</v>
      </c>
      <c r="FC125" s="44">
        <f t="shared" si="237"/>
        <v>3803.8641143400009</v>
      </c>
      <c r="FD125" s="44">
        <f t="shared" si="237"/>
        <v>3616.9365862525519</v>
      </c>
      <c r="FE125" s="44">
        <f t="shared" si="237"/>
        <v>2616.2195035816371</v>
      </c>
      <c r="FF125" s="44">
        <f t="shared" si="237"/>
        <v>2444.3336018236973</v>
      </c>
      <c r="FG125" s="44">
        <f t="shared" ref="FG125:FK125" si="238">+FG124*0.15</f>
        <v>1990.6038529291679</v>
      </c>
      <c r="FH125" s="44">
        <f t="shared" si="238"/>
        <v>1897.0667771041526</v>
      </c>
      <c r="FI125" s="44">
        <f t="shared" si="238"/>
        <v>1826.0018397144843</v>
      </c>
      <c r="FJ125" s="44">
        <f t="shared" si="238"/>
        <v>1771.380992431544</v>
      </c>
      <c r="FK125" s="44">
        <f t="shared" si="238"/>
        <v>1730.0137616396253</v>
      </c>
      <c r="FQ125" s="44"/>
      <c r="FS125" s="44"/>
    </row>
    <row r="126" spans="2:211">
      <c r="B126" s="4" t="s">
        <v>803</v>
      </c>
      <c r="S126" s="44"/>
      <c r="T126" s="44">
        <f>T124-T125</f>
        <v>-984</v>
      </c>
      <c r="AE126" s="44">
        <f>AE124-AE125</f>
        <v>0</v>
      </c>
      <c r="AF126" s="44">
        <f>AF124-AF125</f>
        <v>0</v>
      </c>
      <c r="AG126" s="44">
        <f>AG124-AG125</f>
        <v>0</v>
      </c>
      <c r="AH126" s="44">
        <f>AH124-AH125</f>
        <v>0</v>
      </c>
      <c r="AI126" s="44">
        <f>AQ124-AQ125</f>
        <v>4815</v>
      </c>
      <c r="AJ126" s="44"/>
      <c r="AK126" s="44">
        <f t="shared" ref="AK126:AL126" si="239">AK124-AK125</f>
        <v>4528.1000000000004</v>
      </c>
      <c r="AL126" s="44">
        <f t="shared" si="239"/>
        <v>4577.7999999999993</v>
      </c>
      <c r="AM126" s="44">
        <f t="shared" ref="AM126:AT126" si="240">AM124-AM125</f>
        <v>6437.6</v>
      </c>
      <c r="AN126" s="44">
        <f t="shared" si="240"/>
        <v>4168.2000000000007</v>
      </c>
      <c r="AO126" s="44">
        <f t="shared" si="240"/>
        <v>4800.7999999999993</v>
      </c>
      <c r="AP126" s="44">
        <f t="shared" si="240"/>
        <v>3106.7091000000005</v>
      </c>
      <c r="AQ126" s="44">
        <f t="shared" si="240"/>
        <v>4815</v>
      </c>
      <c r="AR126" s="44">
        <f t="shared" si="240"/>
        <v>2751</v>
      </c>
      <c r="AS126" s="44">
        <f t="shared" si="240"/>
        <v>3992</v>
      </c>
      <c r="AT126" s="44">
        <f t="shared" si="240"/>
        <v>3591</v>
      </c>
      <c r="AU126" s="44">
        <f t="shared" ref="AU126:BB126" si="241">AU124-AU125</f>
        <v>4831.8029999999999</v>
      </c>
      <c r="AV126" s="44">
        <f t="shared" si="241"/>
        <v>4423.6540000000005</v>
      </c>
      <c r="AW126" s="44">
        <f t="shared" si="241"/>
        <v>4216</v>
      </c>
      <c r="AX126" s="44">
        <f t="shared" si="241"/>
        <v>4434</v>
      </c>
      <c r="AY126" s="44">
        <f t="shared" si="241"/>
        <v>4289.6499999999996</v>
      </c>
      <c r="AZ126" s="44">
        <f t="shared" si="241"/>
        <v>4059.6149999999998</v>
      </c>
      <c r="BA126" s="44">
        <f t="shared" si="241"/>
        <v>3495</v>
      </c>
      <c r="BB126" s="44">
        <f t="shared" si="241"/>
        <v>3872</v>
      </c>
      <c r="BC126" s="44">
        <f t="shared" ref="BC126:BJ126" si="242">BC124-BC125</f>
        <v>5278</v>
      </c>
      <c r="BD126" s="44">
        <f t="shared" si="242"/>
        <v>5289</v>
      </c>
      <c r="BE126" s="44">
        <f t="shared" si="242"/>
        <v>4967</v>
      </c>
      <c r="BF126" s="44">
        <f t="shared" si="242"/>
        <v>4539</v>
      </c>
      <c r="BG126" s="44">
        <f t="shared" si="242"/>
        <v>4899</v>
      </c>
      <c r="BH126" s="44">
        <f t="shared" si="242"/>
        <v>5527</v>
      </c>
      <c r="BI126" s="44">
        <f t="shared" si="242"/>
        <v>4917</v>
      </c>
      <c r="BJ126" s="65">
        <f t="shared" si="242"/>
        <v>3927</v>
      </c>
      <c r="BK126" s="65">
        <f>BK124-BK125</f>
        <v>4544</v>
      </c>
      <c r="BL126" s="65">
        <f t="shared" ref="BL126:BN126" si="243">BL124-BL125</f>
        <v>4744</v>
      </c>
      <c r="BM126" s="65">
        <f t="shared" si="243"/>
        <v>3997</v>
      </c>
      <c r="BN126" s="65">
        <f t="shared" si="243"/>
        <v>3721</v>
      </c>
      <c r="BO126" s="65">
        <f t="shared" ref="BO126:BR126" si="244">BO124-BO125</f>
        <v>3911</v>
      </c>
      <c r="BP126" s="65">
        <f t="shared" si="244"/>
        <v>4003</v>
      </c>
      <c r="BQ126" s="65">
        <f t="shared" si="244"/>
        <v>3887</v>
      </c>
      <c r="BR126" s="65">
        <f t="shared" si="244"/>
        <v>4002</v>
      </c>
      <c r="BS126" s="115">
        <f t="shared" ref="BS126:BX126" si="245">BS124-BS125</f>
        <v>3565</v>
      </c>
      <c r="BT126" s="65">
        <f t="shared" si="245"/>
        <v>3980</v>
      </c>
      <c r="BU126" s="65">
        <f t="shared" si="245"/>
        <v>3927.9839999999999</v>
      </c>
      <c r="BV126" s="65">
        <f t="shared" si="245"/>
        <v>3529.0754999999999</v>
      </c>
      <c r="BW126" s="115">
        <f t="shared" si="245"/>
        <v>3308</v>
      </c>
      <c r="BX126" s="65">
        <f t="shared" si="245"/>
        <v>3596</v>
      </c>
      <c r="BY126" s="65">
        <f>+BY124-BY125</f>
        <v>3771</v>
      </c>
      <c r="BZ126" s="65">
        <f>+BZ124-BZ125</f>
        <v>3320</v>
      </c>
      <c r="CA126" s="65">
        <f>+CA124-CA125</f>
        <v>4194</v>
      </c>
      <c r="CB126" s="65">
        <f>+CB124-CB125</f>
        <v>5445</v>
      </c>
      <c r="CC126" s="65">
        <f>+CC124-CC125</f>
        <v>3796</v>
      </c>
      <c r="CD126" s="65">
        <f t="shared" ref="CD126" si="246">+CD124-CD125</f>
        <v>2932</v>
      </c>
      <c r="CE126" s="65">
        <f t="shared" ref="CE126" si="247">+CE124-CE125</f>
        <v>12780</v>
      </c>
      <c r="CF126" s="65">
        <f t="shared" ref="CF126:CJ126" si="248">+CF124-CF125</f>
        <v>4110</v>
      </c>
      <c r="CG126" s="65">
        <f t="shared" si="248"/>
        <v>4135</v>
      </c>
      <c r="CH126" s="65">
        <f t="shared" si="248"/>
        <v>3844</v>
      </c>
      <c r="CI126" s="65">
        <f t="shared" si="248"/>
        <v>12906</v>
      </c>
      <c r="CJ126" s="65">
        <f t="shared" si="248"/>
        <v>4902</v>
      </c>
      <c r="CK126" s="65">
        <f>+CK124-CK125</f>
        <v>4652</v>
      </c>
      <c r="CL126" s="65">
        <f>+CL124-CL125</f>
        <v>3866</v>
      </c>
      <c r="CM126" s="115">
        <f t="shared" ref="CM126:CN126" si="249">CM124-CM125</f>
        <v>4916</v>
      </c>
      <c r="CN126" s="115">
        <f t="shared" si="249"/>
        <v>4285</v>
      </c>
      <c r="CO126" s="115">
        <f>+CO124-CO125</f>
        <v>4288</v>
      </c>
      <c r="CP126" s="115">
        <f>+CP124-CP125</f>
        <v>3223</v>
      </c>
      <c r="CQ126" s="115">
        <f t="shared" ref="CQ126" si="250">CQ124-CQ125</f>
        <v>4589</v>
      </c>
      <c r="CR126" s="115">
        <f t="shared" ref="CR126:CT126" si="251">CR124-CR125</f>
        <v>4472</v>
      </c>
      <c r="CS126" s="115">
        <f t="shared" si="251"/>
        <v>4843</v>
      </c>
      <c r="CT126" s="115">
        <f t="shared" si="251"/>
        <v>2117</v>
      </c>
      <c r="CU126" s="115">
        <f>CU124-CU125</f>
        <v>4654.5999999999985</v>
      </c>
      <c r="CV126" s="115">
        <f>CV124-CV125</f>
        <v>5699</v>
      </c>
      <c r="CW126" s="115">
        <f>+CW124-CW125</f>
        <v>8570</v>
      </c>
      <c r="CX126" s="115">
        <f>CX124-CX125</f>
        <v>6606</v>
      </c>
      <c r="CY126" s="115">
        <f>CY124-CY125</f>
        <v>8986.3999999999978</v>
      </c>
      <c r="CZ126" s="115">
        <f>CZ124-CZ125</f>
        <v>11389.80000000001</v>
      </c>
      <c r="DA126" s="115">
        <f>DA124-DA125</f>
        <v>10802.800000000003</v>
      </c>
      <c r="DB126" s="115">
        <f t="shared" ref="DB126:DI126" si="252">DB124-DB125</f>
        <v>6716</v>
      </c>
      <c r="DC126" s="115">
        <f t="shared" si="252"/>
        <v>7437.8825000000006</v>
      </c>
      <c r="DD126" s="115">
        <f t="shared" si="252"/>
        <v>3209.4894999999997</v>
      </c>
      <c r="DE126" s="115">
        <f t="shared" si="252"/>
        <v>3323.4404999999997</v>
      </c>
      <c r="DF126" s="115">
        <f t="shared" si="252"/>
        <v>201.45</v>
      </c>
      <c r="DG126" s="115">
        <f t="shared" si="252"/>
        <v>0</v>
      </c>
      <c r="DH126" s="115">
        <f t="shared" si="252"/>
        <v>0</v>
      </c>
      <c r="DI126" s="115">
        <f t="shared" si="252"/>
        <v>-243</v>
      </c>
      <c r="DJ126" s="115">
        <f>+DJ124-DJ125</f>
        <v>4523</v>
      </c>
      <c r="DK126" s="115">
        <f>+DK124-DK125</f>
        <v>6780.0683500000014</v>
      </c>
      <c r="DL126" s="115">
        <f>+DL124-DL125</f>
        <v>6310.5394000000006</v>
      </c>
      <c r="DM126" s="115">
        <f>+DM124-DM125</f>
        <v>7465.2924499999999</v>
      </c>
      <c r="DN126" s="115">
        <f>+DN124-DN125</f>
        <v>7568.4322999999986</v>
      </c>
      <c r="DO126" s="115"/>
      <c r="DP126" s="65"/>
      <c r="DQ126" s="65"/>
      <c r="DU126" s="44"/>
      <c r="DV126" s="44">
        <f t="shared" ref="DV126:EM126" si="253">DV124-DV125</f>
        <v>1243</v>
      </c>
      <c r="DW126" s="44">
        <f t="shared" si="253"/>
        <v>1653</v>
      </c>
      <c r="DX126" s="44">
        <f t="shared" si="253"/>
        <v>2088</v>
      </c>
      <c r="DY126" s="44">
        <f t="shared" si="253"/>
        <v>2349</v>
      </c>
      <c r="DZ126" s="44">
        <f t="shared" si="253"/>
        <v>3669</v>
      </c>
      <c r="EA126" s="44">
        <f t="shared" si="253"/>
        <v>4367.0936936936923</v>
      </c>
      <c r="EB126" s="44">
        <f t="shared" si="253"/>
        <v>5660</v>
      </c>
      <c r="EC126" s="44">
        <f t="shared" si="253"/>
        <v>4764</v>
      </c>
      <c r="ED126" s="44">
        <f t="shared" si="253"/>
        <v>-1301</v>
      </c>
      <c r="EE126" s="44">
        <f t="shared" si="253"/>
        <v>-3653</v>
      </c>
      <c r="EF126" s="44">
        <f t="shared" si="253"/>
        <v>768</v>
      </c>
      <c r="EG126" s="44">
        <f t="shared" si="253"/>
        <v>-795</v>
      </c>
      <c r="EH126" s="44">
        <f t="shared" si="253"/>
        <v>2291</v>
      </c>
      <c r="EI126" s="44">
        <f t="shared" si="253"/>
        <v>4509.7434400000002</v>
      </c>
      <c r="EJ126" s="44">
        <f>EJ124-EJ125</f>
        <v>19007.264999999999</v>
      </c>
      <c r="EK126" s="44">
        <f>EK124-EK125</f>
        <v>15716.264999999999</v>
      </c>
      <c r="EL126" s="44">
        <f t="shared" si="253"/>
        <v>20073</v>
      </c>
      <c r="EM126" s="44">
        <f t="shared" si="253"/>
        <v>19209.05</v>
      </c>
      <c r="EN126" s="44">
        <f>EN124-EN125</f>
        <v>16949.830000000002</v>
      </c>
      <c r="EV126" s="44">
        <f>+EV124-EV125</f>
        <v>16021</v>
      </c>
      <c r="EW126" s="44">
        <f>+EW124-EW125</f>
        <v>25529.600000000006</v>
      </c>
      <c r="EX126" s="44">
        <f>+EX124-EX125</f>
        <v>37432.999999999985</v>
      </c>
      <c r="EY126" s="44">
        <f>+EY124-EY125</f>
        <v>12601.262499999997</v>
      </c>
      <c r="EZ126" s="44">
        <f t="shared" ref="EZ126:FF126" si="254">+EZ124-EZ125</f>
        <v>21738.142249999997</v>
      </c>
      <c r="FA126" s="44">
        <f t="shared" si="254"/>
        <v>28124.33249999999</v>
      </c>
      <c r="FB126" s="44">
        <f t="shared" si="254"/>
        <v>23291.699681250007</v>
      </c>
      <c r="FC126" s="44">
        <f t="shared" si="254"/>
        <v>21555.229981260007</v>
      </c>
      <c r="FD126" s="44">
        <f t="shared" si="254"/>
        <v>20495.973988764461</v>
      </c>
      <c r="FE126" s="44">
        <f t="shared" si="254"/>
        <v>14825.243853629279</v>
      </c>
      <c r="FF126" s="44">
        <f t="shared" si="254"/>
        <v>13851.223743667621</v>
      </c>
      <c r="FG126" s="44">
        <f t="shared" ref="FG126:FK126" si="255">+FG124-FG125</f>
        <v>11280.088499931953</v>
      </c>
      <c r="FH126" s="44">
        <f t="shared" si="255"/>
        <v>10750.045070256867</v>
      </c>
      <c r="FI126" s="44">
        <f t="shared" si="255"/>
        <v>10347.343758382078</v>
      </c>
      <c r="FJ126" s="44">
        <f t="shared" si="255"/>
        <v>10037.825623778748</v>
      </c>
      <c r="FK126" s="44">
        <f t="shared" si="255"/>
        <v>9803.4113159578756</v>
      </c>
      <c r="FL126" s="19">
        <f>+FK126*(1+$FR$150)</f>
        <v>9607.3430896387181</v>
      </c>
      <c r="FM126" s="19">
        <f t="shared" ref="FM126:HC126" si="256">+FL126*(1+$FR$150)</f>
        <v>9415.1962278459432</v>
      </c>
      <c r="FN126" s="19">
        <f t="shared" si="256"/>
        <v>9226.8923032890234</v>
      </c>
      <c r="FO126" s="19">
        <f t="shared" si="256"/>
        <v>9042.3544572232422</v>
      </c>
      <c r="FP126" s="19">
        <f t="shared" si="256"/>
        <v>8861.5073680787773</v>
      </c>
      <c r="FQ126" s="19">
        <f t="shared" si="256"/>
        <v>8684.277220717202</v>
      </c>
      <c r="FR126" s="19">
        <f t="shared" si="256"/>
        <v>8510.5916763028581</v>
      </c>
      <c r="FS126" s="19">
        <f t="shared" si="256"/>
        <v>8340.3798427768015</v>
      </c>
      <c r="FT126" s="19">
        <f t="shared" si="256"/>
        <v>8173.5722459212657</v>
      </c>
      <c r="FU126" s="19">
        <f t="shared" si="256"/>
        <v>8010.1008010028399</v>
      </c>
      <c r="FV126" s="19">
        <f t="shared" si="256"/>
        <v>7849.8987849827827</v>
      </c>
      <c r="FW126" s="19">
        <f t="shared" si="256"/>
        <v>7692.9008092831273</v>
      </c>
      <c r="FX126" s="19">
        <f t="shared" si="256"/>
        <v>7539.0427930974647</v>
      </c>
      <c r="FY126" s="19">
        <f t="shared" si="256"/>
        <v>7388.2619372355157</v>
      </c>
      <c r="FZ126" s="19">
        <f t="shared" si="256"/>
        <v>7240.4966984908051</v>
      </c>
      <c r="GA126" s="19">
        <f t="shared" si="256"/>
        <v>7095.6867645209886</v>
      </c>
      <c r="GB126" s="19">
        <f t="shared" si="256"/>
        <v>6953.7730292305687</v>
      </c>
      <c r="GC126" s="19">
        <f t="shared" si="256"/>
        <v>6814.6975686459573</v>
      </c>
      <c r="GD126" s="19">
        <f t="shared" si="256"/>
        <v>6678.4036172730384</v>
      </c>
      <c r="GE126" s="19">
        <f t="shared" si="256"/>
        <v>6544.8355449275778</v>
      </c>
      <c r="GF126" s="19">
        <f t="shared" si="256"/>
        <v>6413.9388340290261</v>
      </c>
      <c r="GG126" s="19">
        <f t="shared" si="256"/>
        <v>6285.6600573484457</v>
      </c>
      <c r="GH126" s="19">
        <f t="shared" si="256"/>
        <v>6159.9468562014763</v>
      </c>
      <c r="GI126" s="19">
        <f t="shared" si="256"/>
        <v>6036.7479190774466</v>
      </c>
      <c r="GJ126" s="19">
        <f t="shared" si="256"/>
        <v>5916.0129606958972</v>
      </c>
      <c r="GK126" s="19">
        <f t="shared" si="256"/>
        <v>5797.6927014819794</v>
      </c>
      <c r="GL126" s="19">
        <f t="shared" si="256"/>
        <v>5681.7388474523395</v>
      </c>
      <c r="GM126" s="19">
        <f t="shared" si="256"/>
        <v>5568.1040705032929</v>
      </c>
      <c r="GN126" s="19">
        <f t="shared" si="256"/>
        <v>5456.7419890932269</v>
      </c>
      <c r="GO126" s="19">
        <f t="shared" si="256"/>
        <v>5347.6071493113623</v>
      </c>
      <c r="GP126" s="19">
        <f t="shared" si="256"/>
        <v>5240.6550063251352</v>
      </c>
      <c r="GQ126" s="19">
        <f t="shared" si="256"/>
        <v>5135.8419061986324</v>
      </c>
      <c r="GR126" s="19">
        <f t="shared" si="256"/>
        <v>5033.1250680746598</v>
      </c>
      <c r="GS126" s="19">
        <f t="shared" si="256"/>
        <v>4932.4625667131668</v>
      </c>
      <c r="GT126" s="19">
        <f t="shared" si="256"/>
        <v>4833.8133153789031</v>
      </c>
      <c r="GU126" s="19">
        <f t="shared" si="256"/>
        <v>4737.1370490713252</v>
      </c>
      <c r="GV126" s="19">
        <f t="shared" si="256"/>
        <v>4642.3943080898989</v>
      </c>
      <c r="GW126" s="19">
        <f t="shared" si="256"/>
        <v>4549.5464219281012</v>
      </c>
      <c r="GX126" s="19">
        <f t="shared" si="256"/>
        <v>4458.555493489539</v>
      </c>
      <c r="GY126" s="19">
        <f t="shared" si="256"/>
        <v>4369.3843836197484</v>
      </c>
      <c r="GZ126" s="19">
        <f t="shared" si="256"/>
        <v>4281.9966959473531</v>
      </c>
      <c r="HA126" s="19">
        <f t="shared" si="256"/>
        <v>4196.3567620284057</v>
      </c>
      <c r="HB126" s="19">
        <f t="shared" si="256"/>
        <v>4112.4296267878372</v>
      </c>
      <c r="HC126" s="19">
        <f t="shared" si="256"/>
        <v>4030.1810342520803</v>
      </c>
    </row>
    <row r="127" spans="2:211" s="5" customFormat="1">
      <c r="B127" s="5" t="s">
        <v>804</v>
      </c>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3"/>
      <c r="AF127" s="53"/>
      <c r="AG127" s="53"/>
      <c r="AH127" s="53"/>
      <c r="AI127" s="52"/>
      <c r="AJ127" s="52"/>
      <c r="AK127" s="48">
        <f t="shared" ref="AK127:AL127" si="257">AK126/AK128</f>
        <v>0.61339745326469797</v>
      </c>
      <c r="AL127" s="48">
        <f t="shared" si="257"/>
        <v>0.62130836047774152</v>
      </c>
      <c r="AM127" s="48">
        <f t="shared" ref="AM127:AT127" si="258">AM126/AM128</f>
        <v>0.87897323866739496</v>
      </c>
      <c r="AN127" s="48">
        <f t="shared" si="258"/>
        <v>0.57059548254620129</v>
      </c>
      <c r="AO127" s="48">
        <f t="shared" si="258"/>
        <v>0.66401106500691554</v>
      </c>
      <c r="AP127" s="48">
        <f t="shared" si="258"/>
        <v>0.43323233858597132</v>
      </c>
      <c r="AQ127" s="48">
        <f t="shared" si="258"/>
        <v>0.68056537102473502</v>
      </c>
      <c r="AR127" s="48">
        <f t="shared" si="258"/>
        <v>0.39356223175965666</v>
      </c>
      <c r="AS127" s="48">
        <f t="shared" si="258"/>
        <v>0.57905425007252687</v>
      </c>
      <c r="AT127" s="48">
        <f t="shared" si="258"/>
        <v>0.5287102473498233</v>
      </c>
      <c r="AU127" s="48">
        <f t="shared" ref="AU127:AZ127" si="259">AU126/AU128</f>
        <v>0.71455235137533268</v>
      </c>
      <c r="AV127" s="48">
        <f t="shared" si="259"/>
        <v>0.65555038529934806</v>
      </c>
      <c r="AW127" s="48">
        <f t="shared" si="259"/>
        <v>0.62589073634204273</v>
      </c>
      <c r="AX127" s="48">
        <f t="shared" si="259"/>
        <v>0.65796112182816446</v>
      </c>
      <c r="AY127" s="48">
        <f t="shared" si="259"/>
        <v>0.63522138308899745</v>
      </c>
      <c r="AZ127" s="48">
        <f t="shared" si="259"/>
        <v>0.60124629739336488</v>
      </c>
      <c r="BA127" s="48">
        <f t="shared" ref="BA127:BF127" si="260">BA126/BA128</f>
        <v>0.51685891748003554</v>
      </c>
      <c r="BB127" s="48">
        <f t="shared" si="260"/>
        <v>0.49343698228622401</v>
      </c>
      <c r="BC127" s="48">
        <f t="shared" si="260"/>
        <v>0.65435159930572773</v>
      </c>
      <c r="BD127" s="48">
        <f>BD126/BD128</f>
        <v>0.65522794846382559</v>
      </c>
      <c r="BE127" s="48">
        <f t="shared" si="260"/>
        <v>0.61533696729435083</v>
      </c>
      <c r="BF127" s="48">
        <f t="shared" si="260"/>
        <v>0.56399105367793245</v>
      </c>
      <c r="BG127" s="48">
        <f>BG126/BG128</f>
        <v>0.60970752955818297</v>
      </c>
      <c r="BH127" s="48">
        <f>BH126/BH128</f>
        <v>0.69653434152488969</v>
      </c>
      <c r="BI127" s="48">
        <f t="shared" ref="BI127:BJ127" si="261">BI126/BI128</f>
        <v>0.62957746478873244</v>
      </c>
      <c r="BJ127" s="105">
        <f t="shared" si="261"/>
        <v>0.51086249512163395</v>
      </c>
      <c r="BK127" s="105">
        <f>BK126/BK128</f>
        <v>0.5980521189786786</v>
      </c>
      <c r="BL127" s="105">
        <f>BL126/BL128</f>
        <v>0.62942815443810529</v>
      </c>
      <c r="BM127" s="105">
        <f t="shared" ref="BM127:BN127" si="262">BM126/BM128</f>
        <v>0.53236547682472035</v>
      </c>
      <c r="BN127" s="105">
        <f t="shared" si="262"/>
        <v>0.50317782285327928</v>
      </c>
      <c r="BO127" s="105">
        <f t="shared" ref="BO127:BR127" si="263">BO126/BO128</f>
        <v>0.53803824460035765</v>
      </c>
      <c r="BP127" s="105">
        <f t="shared" si="263"/>
        <v>0.56245609104959959</v>
      </c>
      <c r="BQ127" s="105">
        <f t="shared" si="263"/>
        <v>0.583984375</v>
      </c>
      <c r="BR127" s="105">
        <f t="shared" si="263"/>
        <v>0.61071265069433844</v>
      </c>
      <c r="BS127" s="137">
        <f t="shared" ref="BS127:BX127" si="264">BS126/BS128</f>
        <v>0.55049413218035825</v>
      </c>
      <c r="BT127" s="105">
        <f t="shared" si="264"/>
        <v>0.61762880198634384</v>
      </c>
      <c r="BU127" s="105">
        <f t="shared" si="264"/>
        <v>0.59941767129558976</v>
      </c>
      <c r="BV127" s="105">
        <f t="shared" si="264"/>
        <v>0.53854349153059666</v>
      </c>
      <c r="BW127" s="137">
        <f t="shared" si="264"/>
        <v>0.52574698029243483</v>
      </c>
      <c r="BX127" s="105">
        <f t="shared" si="264"/>
        <v>0.57600512574082974</v>
      </c>
      <c r="BY127" s="105">
        <f t="shared" ref="BY127:CJ127" si="265">+BY126/BY128</f>
        <v>0.60403652090341187</v>
      </c>
      <c r="BZ127" s="105">
        <f t="shared" si="265"/>
        <v>0.5312850056008962</v>
      </c>
      <c r="CA127" s="105">
        <f t="shared" si="265"/>
        <v>0.67492758287737364</v>
      </c>
      <c r="CB127" s="105">
        <f t="shared" si="265"/>
        <v>0.88724132312204662</v>
      </c>
      <c r="CC127" s="105">
        <f t="shared" si="265"/>
        <v>0.61723577235772353</v>
      </c>
      <c r="CD127" s="105">
        <f t="shared" si="265"/>
        <v>0.47721354166666669</v>
      </c>
      <c r="CE127" s="105"/>
      <c r="CF127" s="105">
        <f t="shared" si="265"/>
        <v>0.68080172270995531</v>
      </c>
      <c r="CG127" s="105">
        <f t="shared" si="265"/>
        <v>0.68448932295977483</v>
      </c>
      <c r="CH127" s="105">
        <f t="shared" si="265"/>
        <v>0.63390501319261217</v>
      </c>
      <c r="CI127" s="105">
        <f t="shared" si="265"/>
        <v>2.1560307383895756</v>
      </c>
      <c r="CJ127" s="105">
        <f t="shared" si="265"/>
        <v>0.82358870967741937</v>
      </c>
      <c r="CK127" s="105">
        <f>+CK126/CK128</f>
        <v>0.77714667557634476</v>
      </c>
      <c r="CL127" s="137">
        <f t="shared" ref="CL127" si="266">CL126/CL128</f>
        <v>0.65392422192151556</v>
      </c>
      <c r="CM127" s="137">
        <f t="shared" ref="CM127:CN127" si="267">CM126/CM128</f>
        <v>0.85495652173913039</v>
      </c>
      <c r="CN127" s="137">
        <f t="shared" si="267"/>
        <v>0.75546544428772922</v>
      </c>
      <c r="CO127" s="137">
        <f>+CO126/CO128</f>
        <v>0.75907240219507877</v>
      </c>
      <c r="CP127" s="137">
        <f t="shared" ref="CP127:CQ127" si="268">CP126/CP128</f>
        <v>0.57236725270822231</v>
      </c>
      <c r="CQ127" s="137">
        <f t="shared" si="268"/>
        <v>0.81756636379832537</v>
      </c>
      <c r="CR127" s="137">
        <f t="shared" ref="CR127:CT127" si="269">CR126/CR128</f>
        <v>0.79587115145043597</v>
      </c>
      <c r="CS127" s="137">
        <f t="shared" si="269"/>
        <v>0.85975501508965024</v>
      </c>
      <c r="CT127" s="137">
        <f t="shared" si="269"/>
        <v>0.37389614977039914</v>
      </c>
      <c r="CU127" s="137">
        <f t="shared" ref="CU127:DA127" si="270">CU126/CU128</f>
        <v>0.82207700459201671</v>
      </c>
      <c r="CV127" s="137">
        <f t="shared" si="270"/>
        <v>1.0036984853821769</v>
      </c>
      <c r="CW127" s="137">
        <f t="shared" si="270"/>
        <v>1.496943231441048</v>
      </c>
      <c r="CX127" s="137">
        <f t="shared" si="270"/>
        <v>1.1452843273231623</v>
      </c>
      <c r="CY127" s="137">
        <f t="shared" si="270"/>
        <v>1.5606807919416461</v>
      </c>
      <c r="CZ127" s="137">
        <f t="shared" si="270"/>
        <v>1.9940126050420186</v>
      </c>
      <c r="DA127" s="137">
        <f t="shared" si="270"/>
        <v>1.8892619797131869</v>
      </c>
      <c r="DB127" s="137">
        <f t="shared" ref="DB127:DN127" si="271">DB126/DB128</f>
        <v>1.1694236461779557</v>
      </c>
      <c r="DC127" s="137">
        <f t="shared" si="271"/>
        <v>1.2951214522026817</v>
      </c>
      <c r="DD127" s="137">
        <f t="shared" si="271"/>
        <v>0.55885242904405352</v>
      </c>
      <c r="DE127" s="137">
        <f t="shared" si="271"/>
        <v>0.58863629117959615</v>
      </c>
      <c r="DF127" s="137">
        <f t="shared" si="271"/>
        <v>3.5391777933942374E-2</v>
      </c>
      <c r="DG127" s="137">
        <f t="shared" si="271"/>
        <v>0</v>
      </c>
      <c r="DH127" s="137">
        <f t="shared" si="271"/>
        <v>0</v>
      </c>
      <c r="DI127" s="137">
        <f t="shared" si="271"/>
        <v>-4.2594215600350573E-2</v>
      </c>
      <c r="DJ127" s="137">
        <f t="shared" si="271"/>
        <v>0.79309135542696829</v>
      </c>
      <c r="DK127" s="137">
        <f t="shared" si="271"/>
        <v>1.1888599596703491</v>
      </c>
      <c r="DL127" s="137">
        <f t="shared" si="271"/>
        <v>1.1065297913378924</v>
      </c>
      <c r="DM127" s="137">
        <f t="shared" si="271"/>
        <v>1.3090114764159215</v>
      </c>
      <c r="DN127" s="137">
        <f t="shared" si="271"/>
        <v>1.3270966684201295</v>
      </c>
      <c r="DO127" s="137"/>
      <c r="DP127" s="105"/>
      <c r="DQ127" s="105"/>
      <c r="DU127" s="53"/>
      <c r="DV127" s="53">
        <f t="shared" ref="DV127:EE127" si="272">ROUND(DV126/DV128,2)</f>
        <v>0.33</v>
      </c>
      <c r="DW127" s="53">
        <f t="shared" si="272"/>
        <v>0.44</v>
      </c>
      <c r="DX127" s="53">
        <f t="shared" si="272"/>
        <v>0.54</v>
      </c>
      <c r="DY127" s="53">
        <f t="shared" si="272"/>
        <v>0.6</v>
      </c>
      <c r="DZ127" s="53">
        <f t="shared" si="272"/>
        <v>0.93</v>
      </c>
      <c r="EA127" s="53">
        <f t="shared" si="272"/>
        <v>0.69</v>
      </c>
      <c r="EB127" s="53">
        <f t="shared" si="272"/>
        <v>0.89</v>
      </c>
      <c r="EC127" s="53">
        <f t="shared" si="272"/>
        <v>0.75</v>
      </c>
      <c r="ED127" s="53">
        <f t="shared" si="272"/>
        <v>-0.21</v>
      </c>
      <c r="EE127" s="53">
        <f t="shared" si="272"/>
        <v>-0.5</v>
      </c>
      <c r="EF127" s="53">
        <f>ROUND(EF126/EF128,2)</f>
        <v>0.1</v>
      </c>
      <c r="EG127" s="53">
        <f>ROUND(EG126/EG128,2)</f>
        <v>-0.11</v>
      </c>
      <c r="EH127" s="53">
        <f>EH126/EH128</f>
        <v>0.31495738245806981</v>
      </c>
      <c r="EI127" s="53">
        <f t="shared" ref="EI127:EL127" si="273">ROUND(EI126/EI128,2)</f>
        <v>0.65</v>
      </c>
      <c r="EJ127" s="54">
        <f>ROUND(EJ126/EJ128,2)</f>
        <v>2.82</v>
      </c>
      <c r="EK127" s="53">
        <f>ROUND(EK126/EK128,2)</f>
        <v>2.2400000000000002</v>
      </c>
      <c r="EL127" s="53">
        <f t="shared" si="273"/>
        <v>2.4900000000000002</v>
      </c>
      <c r="EM127" s="53">
        <f>ROUND(EM126/EM128,2)</f>
        <v>2.44</v>
      </c>
      <c r="EN127" s="53">
        <f>ROUND(EN126/EN128,2)</f>
        <v>2.2599999999999998</v>
      </c>
      <c r="EO127" s="53"/>
      <c r="EP127" s="53"/>
      <c r="EQ127" s="53"/>
      <c r="ER127" s="53"/>
      <c r="ES127" s="53"/>
      <c r="ET127" s="53"/>
      <c r="EU127" s="53"/>
      <c r="EV127" s="53">
        <f>+EV126/EV128</f>
        <v>2.844764060904692</v>
      </c>
      <c r="EW127" s="53">
        <f>+EW126/EW128</f>
        <v>4.4724039767003907</v>
      </c>
      <c r="EX127" s="53">
        <f>+EX126/EX128</f>
        <v>6.529675984475162</v>
      </c>
      <c r="EY127" s="53">
        <f>+EY126/EY128</f>
        <v>2.2084231510690495</v>
      </c>
      <c r="EZ127" s="53">
        <f>+EZ126/EZ128</f>
        <v>3.8096989572379947</v>
      </c>
      <c r="FA127" s="53">
        <f t="shared" ref="FA127:FF127" si="274">+FA126/FA128</f>
        <v>4.9314978958442905</v>
      </c>
      <c r="FB127" s="53">
        <f t="shared" si="274"/>
        <v>4.0841135685165719</v>
      </c>
      <c r="FC127" s="53">
        <f t="shared" si="274"/>
        <v>3.7796300160021055</v>
      </c>
      <c r="FD127" s="53">
        <f t="shared" si="274"/>
        <v>3.5938933874740417</v>
      </c>
      <c r="FE127" s="53">
        <f t="shared" si="274"/>
        <v>2.5995517891687321</v>
      </c>
      <c r="FF127" s="53">
        <f t="shared" si="274"/>
        <v>2.4287609580339504</v>
      </c>
      <c r="FG127" s="53">
        <f t="shared" ref="FG127:FK127" si="275">+FG126/FG128</f>
        <v>1.9779218832074266</v>
      </c>
      <c r="FH127" s="53">
        <f t="shared" si="275"/>
        <v>1.8849807242252967</v>
      </c>
      <c r="FI127" s="53">
        <f t="shared" si="275"/>
        <v>1.8143685355746235</v>
      </c>
      <c r="FJ127" s="53">
        <f t="shared" si="275"/>
        <v>1.7600956731156845</v>
      </c>
      <c r="FK127" s="53">
        <f t="shared" si="275"/>
        <v>1.7189919894718351</v>
      </c>
      <c r="FL127" s="53"/>
      <c r="FM127" s="53"/>
      <c r="FN127" s="53"/>
      <c r="FO127" s="53"/>
      <c r="FP127" s="53"/>
      <c r="FQ127" s="89"/>
      <c r="FR127" s="53"/>
      <c r="FS127" s="90"/>
      <c r="FT127" s="53"/>
      <c r="FU127" s="26"/>
    </row>
    <row r="128" spans="2:211">
      <c r="B128" s="4" t="s">
        <v>299</v>
      </c>
      <c r="W128" s="68">
        <v>6305.9</v>
      </c>
      <c r="X128" s="68">
        <f>6291.2*2-W128</f>
        <v>6276.5</v>
      </c>
      <c r="Y128" s="68">
        <f>6262.2*3-W128-X128</f>
        <v>6204.1999999999989</v>
      </c>
      <c r="Z128" s="68">
        <f>6241.4*4-SUM(W128:Y128)</f>
        <v>6179</v>
      </c>
      <c r="AA128" s="68">
        <v>6161.7</v>
      </c>
      <c r="AB128" s="68">
        <v>7453.4</v>
      </c>
      <c r="AC128" s="68">
        <v>7791.2</v>
      </c>
      <c r="AD128" s="68">
        <v>7668.3</v>
      </c>
      <c r="AE128" s="68">
        <v>7678.5</v>
      </c>
      <c r="AF128" s="68">
        <v>7664</v>
      </c>
      <c r="AG128" s="68">
        <v>7568.7</v>
      </c>
      <c r="AH128" s="68">
        <v>7510.6</v>
      </c>
      <c r="AI128" s="68">
        <v>7473.8</v>
      </c>
      <c r="AK128" s="44">
        <v>7382</v>
      </c>
      <c r="AL128" s="44">
        <v>7368</v>
      </c>
      <c r="AM128" s="44">
        <v>7324</v>
      </c>
      <c r="AN128" s="44">
        <v>7305</v>
      </c>
      <c r="AO128" s="44">
        <f>AN128-75</f>
        <v>7230</v>
      </c>
      <c r="AP128" s="68">
        <v>7171</v>
      </c>
      <c r="AQ128" s="44">
        <v>7075</v>
      </c>
      <c r="AR128" s="44">
        <v>6990</v>
      </c>
      <c r="AS128" s="44">
        <v>6894</v>
      </c>
      <c r="AT128" s="44">
        <v>6792</v>
      </c>
      <c r="AU128" s="44">
        <v>6762</v>
      </c>
      <c r="AV128" s="44">
        <v>6748</v>
      </c>
      <c r="AW128" s="44">
        <v>6736</v>
      </c>
      <c r="AX128" s="44">
        <v>6739</v>
      </c>
      <c r="AY128" s="44">
        <v>6753</v>
      </c>
      <c r="AZ128" s="44">
        <v>6752</v>
      </c>
      <c r="BA128" s="44">
        <v>6762</v>
      </c>
      <c r="BB128" s="44">
        <v>7847</v>
      </c>
      <c r="BC128" s="44">
        <v>8066</v>
      </c>
      <c r="BD128" s="44">
        <v>8072</v>
      </c>
      <c r="BE128" s="104">
        <f>+BD128</f>
        <v>8072</v>
      </c>
      <c r="BF128" s="44">
        <v>8048</v>
      </c>
      <c r="BG128" s="44">
        <v>8035</v>
      </c>
      <c r="BH128" s="44">
        <v>7935</v>
      </c>
      <c r="BI128" s="44">
        <v>7810</v>
      </c>
      <c r="BJ128" s="65">
        <v>7687</v>
      </c>
      <c r="BK128" s="65">
        <v>7598</v>
      </c>
      <c r="BL128" s="65">
        <v>7537</v>
      </c>
      <c r="BM128" s="65">
        <v>7508</v>
      </c>
      <c r="BN128" s="65">
        <v>7395</v>
      </c>
      <c r="BO128" s="65">
        <v>7269</v>
      </c>
      <c r="BP128" s="65">
        <v>7117</v>
      </c>
      <c r="BQ128" s="65">
        <v>6656</v>
      </c>
      <c r="BR128" s="65">
        <v>6553</v>
      </c>
      <c r="BS128" s="115">
        <v>6476</v>
      </c>
      <c r="BT128" s="65">
        <v>6444</v>
      </c>
      <c r="BU128" s="65">
        <v>6553</v>
      </c>
      <c r="BV128" s="65">
        <v>6553</v>
      </c>
      <c r="BW128" s="115">
        <v>6292</v>
      </c>
      <c r="BX128" s="65">
        <v>6243</v>
      </c>
      <c r="BY128" s="115">
        <v>6243</v>
      </c>
      <c r="BZ128" s="65">
        <v>6249</v>
      </c>
      <c r="CA128" s="65">
        <v>6214</v>
      </c>
      <c r="CB128" s="65">
        <v>6137</v>
      </c>
      <c r="CC128" s="65">
        <v>6150</v>
      </c>
      <c r="CD128" s="65">
        <v>6144</v>
      </c>
      <c r="CE128" s="65"/>
      <c r="CF128" s="65">
        <v>6037</v>
      </c>
      <c r="CG128" s="65">
        <v>6041</v>
      </c>
      <c r="CH128" s="65">
        <v>6064</v>
      </c>
      <c r="CI128" s="65">
        <v>5986</v>
      </c>
      <c r="CJ128" s="65">
        <v>5952</v>
      </c>
      <c r="CK128" s="65">
        <v>5986</v>
      </c>
      <c r="CL128" s="115">
        <v>5912</v>
      </c>
      <c r="CM128" s="115">
        <v>5750</v>
      </c>
      <c r="CN128" s="115">
        <v>5672</v>
      </c>
      <c r="CO128" s="115">
        <v>5649</v>
      </c>
      <c r="CP128" s="115">
        <v>5631</v>
      </c>
      <c r="CQ128" s="115">
        <v>5613</v>
      </c>
      <c r="CR128" s="115">
        <v>5619</v>
      </c>
      <c r="CS128" s="115">
        <v>5633</v>
      </c>
      <c r="CT128" s="115">
        <v>5662</v>
      </c>
      <c r="CU128" s="115">
        <v>5662</v>
      </c>
      <c r="CV128" s="115">
        <v>5678</v>
      </c>
      <c r="CW128" s="115">
        <v>5725</v>
      </c>
      <c r="CX128" s="115">
        <v>5768</v>
      </c>
      <c r="CY128" s="115">
        <v>5758</v>
      </c>
      <c r="CZ128" s="115">
        <v>5712</v>
      </c>
      <c r="DA128" s="115">
        <v>5718</v>
      </c>
      <c r="DB128" s="115">
        <v>5743</v>
      </c>
      <c r="DC128" s="115">
        <f t="shared" ref="DC128:DF128" si="276">+DB128</f>
        <v>5743</v>
      </c>
      <c r="DD128" s="115">
        <f t="shared" si="276"/>
        <v>5743</v>
      </c>
      <c r="DE128" s="115">
        <v>5646</v>
      </c>
      <c r="DF128" s="115">
        <v>5692</v>
      </c>
      <c r="DG128" s="115">
        <f>+DF128</f>
        <v>5692</v>
      </c>
      <c r="DH128" s="115">
        <f>+DG128</f>
        <v>5692</v>
      </c>
      <c r="DI128" s="115">
        <v>5705</v>
      </c>
      <c r="DJ128" s="115">
        <v>5703</v>
      </c>
      <c r="DK128" s="115">
        <f>+DJ128</f>
        <v>5703</v>
      </c>
      <c r="DL128" s="115">
        <f>+DK128</f>
        <v>5703</v>
      </c>
      <c r="DM128" s="115">
        <f>+DL128</f>
        <v>5703</v>
      </c>
      <c r="DN128" s="115">
        <f>+DM128</f>
        <v>5703</v>
      </c>
      <c r="DO128" s="115"/>
      <c r="DP128" s="65"/>
      <c r="DQ128" s="65"/>
      <c r="DU128" s="44"/>
      <c r="DV128" s="44">
        <v>3729</v>
      </c>
      <c r="DW128" s="44">
        <v>3777</v>
      </c>
      <c r="DX128" s="44">
        <v>3864</v>
      </c>
      <c r="DY128" s="44">
        <v>3909</v>
      </c>
      <c r="DZ128" s="44">
        <v>3945</v>
      </c>
      <c r="EA128" s="44">
        <v>6317</v>
      </c>
      <c r="EB128" s="44">
        <v>6368</v>
      </c>
      <c r="EC128" s="44">
        <v>6361</v>
      </c>
      <c r="ED128" s="44">
        <v>6241</v>
      </c>
      <c r="EE128" s="44">
        <v>7285.6</v>
      </c>
      <c r="EF128" s="44">
        <v>7605</v>
      </c>
      <c r="EG128" s="44">
        <v>7399</v>
      </c>
      <c r="EH128" s="44">
        <v>7274</v>
      </c>
      <c r="EI128" s="44">
        <f>AVERAGE(AQ128:AT128)</f>
        <v>6937.75</v>
      </c>
      <c r="EJ128" s="44">
        <f>AVERAGE(AU128:AX128)</f>
        <v>6746.25</v>
      </c>
      <c r="EK128" s="44">
        <f>AVERAGE(AY128:BB128)</f>
        <v>7028.5</v>
      </c>
      <c r="EL128" s="44">
        <f>AVERAGE(BC128:BF128)</f>
        <v>8064.5</v>
      </c>
      <c r="EM128" s="44">
        <f>AVERAGE(BG128:BJ128)</f>
        <v>7866.75</v>
      </c>
      <c r="EN128" s="44">
        <f>AVERAGE(BK128:BN128)</f>
        <v>7509.5</v>
      </c>
      <c r="EV128" s="44">
        <f>AVERAGE(CQ128:CT128)</f>
        <v>5631.75</v>
      </c>
      <c r="EW128" s="44">
        <f>AVERAGE(CU128:CX128)</f>
        <v>5708.25</v>
      </c>
      <c r="EX128" s="44">
        <f>AVERAGE(CY128:DB128)</f>
        <v>5732.75</v>
      </c>
      <c r="EY128" s="44">
        <f>AVERAGE(DC128:DF128)</f>
        <v>5706</v>
      </c>
      <c r="EZ128" s="44">
        <f>+EY128</f>
        <v>5706</v>
      </c>
      <c r="FA128" s="44">
        <f>AVERAGE(DK128:DN128)</f>
        <v>5703</v>
      </c>
      <c r="FB128" s="44">
        <f t="shared" ref="FA128:FF128" si="277">+FA128</f>
        <v>5703</v>
      </c>
      <c r="FC128" s="44">
        <f t="shared" si="277"/>
        <v>5703</v>
      </c>
      <c r="FD128" s="44">
        <f t="shared" si="277"/>
        <v>5703</v>
      </c>
      <c r="FE128" s="44">
        <f t="shared" si="277"/>
        <v>5703</v>
      </c>
      <c r="FF128" s="44">
        <f t="shared" si="277"/>
        <v>5703</v>
      </c>
      <c r="FG128" s="44">
        <f t="shared" ref="FG128" si="278">+FF128</f>
        <v>5703</v>
      </c>
      <c r="FH128" s="44">
        <f t="shared" ref="FH128" si="279">+FG128</f>
        <v>5703</v>
      </c>
      <c r="FI128" s="44">
        <f t="shared" ref="FI128" si="280">+FH128</f>
        <v>5703</v>
      </c>
      <c r="FJ128" s="44">
        <f t="shared" ref="FJ128" si="281">+FI128</f>
        <v>5703</v>
      </c>
      <c r="FK128" s="44">
        <f t="shared" ref="FK128" si="282">+FJ128</f>
        <v>5703</v>
      </c>
    </row>
    <row r="129" spans="2:179">
      <c r="W129" s="68"/>
      <c r="X129" s="68"/>
      <c r="Y129" s="68"/>
      <c r="Z129" s="68"/>
      <c r="AA129" s="68"/>
      <c r="AB129" s="68"/>
      <c r="AC129" s="68"/>
      <c r="AD129" s="68"/>
      <c r="AE129" s="68"/>
      <c r="AF129" s="68"/>
      <c r="AG129" s="68"/>
      <c r="AH129" s="68"/>
      <c r="AI129" s="68"/>
      <c r="AM129" s="44"/>
      <c r="AN129" s="44"/>
      <c r="AO129" s="44"/>
      <c r="AP129" s="68"/>
      <c r="AQ129" s="44"/>
      <c r="AR129" s="44"/>
      <c r="AS129" s="44"/>
      <c r="AT129" s="44"/>
      <c r="AU129" s="44"/>
      <c r="AV129" s="44"/>
      <c r="AW129" s="44"/>
      <c r="AX129" s="44"/>
      <c r="AY129" s="44"/>
      <c r="AZ129" s="44"/>
      <c r="BA129" s="44"/>
      <c r="BB129" s="44"/>
      <c r="BC129" s="44"/>
      <c r="BD129" s="44"/>
      <c r="BE129" s="44"/>
      <c r="BF129" s="44"/>
      <c r="BG129" s="44"/>
      <c r="BH129" s="44"/>
      <c r="BI129" s="44"/>
      <c r="BJ129" s="65"/>
      <c r="BK129" s="65"/>
      <c r="BL129" s="44"/>
      <c r="BM129" s="44"/>
      <c r="BN129" s="44"/>
      <c r="BO129" s="44"/>
      <c r="BP129" s="44"/>
      <c r="BQ129" s="44"/>
      <c r="BR129" s="44"/>
      <c r="BS129" s="115"/>
      <c r="BT129" s="44"/>
      <c r="BU129" s="44"/>
      <c r="BV129" s="44"/>
      <c r="BW129" s="115"/>
      <c r="BX129" s="44"/>
      <c r="BY129" s="115"/>
      <c r="BZ129" s="44"/>
      <c r="CA129" s="44"/>
      <c r="CB129" s="44"/>
      <c r="CC129" s="44"/>
      <c r="CD129" s="44"/>
      <c r="CE129" s="44"/>
      <c r="CF129" s="44"/>
      <c r="CG129" s="44"/>
      <c r="CH129" s="44"/>
      <c r="CI129" s="44"/>
      <c r="CJ129" s="44"/>
      <c r="CK129" s="44"/>
      <c r="CL129" s="44"/>
      <c r="CM129" s="44"/>
      <c r="CN129" s="115"/>
      <c r="CO129" s="115"/>
      <c r="CP129" s="115"/>
      <c r="CQ129" s="115"/>
      <c r="CR129" s="115"/>
      <c r="CS129" s="115"/>
      <c r="CT129" s="115"/>
      <c r="CU129" s="115"/>
      <c r="CV129" s="115"/>
      <c r="CW129" s="115"/>
      <c r="CX129" s="115"/>
      <c r="CY129" s="115"/>
      <c r="CZ129" s="115"/>
      <c r="DA129" s="115"/>
      <c r="DB129" s="115"/>
      <c r="DC129" s="115"/>
      <c r="DD129" s="115"/>
      <c r="DE129" s="115"/>
      <c r="DF129" s="115"/>
      <c r="DG129" s="115"/>
      <c r="DH129" s="115"/>
      <c r="DI129" s="115"/>
      <c r="DJ129" s="115"/>
      <c r="DK129" s="115"/>
      <c r="DL129" s="115"/>
      <c r="DM129" s="115"/>
      <c r="DN129" s="115"/>
      <c r="DO129" s="115"/>
      <c r="DP129" s="44"/>
      <c r="DQ129" s="44"/>
      <c r="DU129" s="44"/>
      <c r="DV129" s="44"/>
      <c r="DW129" s="44"/>
      <c r="DX129" s="44"/>
      <c r="DY129" s="44"/>
      <c r="DZ129" s="44"/>
      <c r="EA129" s="44"/>
      <c r="EB129" s="44"/>
      <c r="EC129" s="44"/>
      <c r="ED129" s="44"/>
      <c r="EE129" s="44"/>
      <c r="EF129" s="44"/>
      <c r="EG129" s="44"/>
      <c r="EH129" s="44"/>
      <c r="EI129" s="44"/>
      <c r="EJ129" s="44"/>
    </row>
    <row r="130" spans="2:179">
      <c r="B130" s="4" t="s">
        <v>794</v>
      </c>
      <c r="W130" s="58">
        <f>W117/W115</f>
        <v>0.87200435729847492</v>
      </c>
      <c r="X130" s="58">
        <f>X117/X115</f>
        <v>0.82956001708671512</v>
      </c>
      <c r="Y130" s="58">
        <f>Y117/Y115</f>
        <v>0.82992492881180435</v>
      </c>
      <c r="Z130" s="58">
        <f>Z117/Z115</f>
        <v>0.86651558073654389</v>
      </c>
      <c r="AE130" s="49"/>
      <c r="AF130" s="49"/>
      <c r="AG130" s="49"/>
      <c r="AH130" s="49"/>
      <c r="AK130" s="49">
        <f t="shared" ref="AK130:BO130" si="283">AK117/AK115</f>
        <v>0.84835599780640747</v>
      </c>
      <c r="AL130" s="49">
        <f t="shared" si="283"/>
        <v>0.8323423474929964</v>
      </c>
      <c r="AM130" s="49">
        <f t="shared" si="283"/>
        <v>0.87236090317455472</v>
      </c>
      <c r="AN130" s="49">
        <f t="shared" si="283"/>
        <v>0.86247063429913862</v>
      </c>
      <c r="AO130" s="49">
        <f t="shared" si="283"/>
        <v>0.84659650659118979</v>
      </c>
      <c r="AP130" s="49">
        <f t="shared" si="283"/>
        <v>0.83082405549154126</v>
      </c>
      <c r="AQ130" s="49">
        <f t="shared" si="283"/>
        <v>0.85626102292768957</v>
      </c>
      <c r="AR130" s="49">
        <f t="shared" si="283"/>
        <v>0.82912306026705163</v>
      </c>
      <c r="AS130" s="49">
        <f t="shared" si="283"/>
        <v>0.84853556485355652</v>
      </c>
      <c r="AT130" s="49">
        <f t="shared" si="283"/>
        <v>0.82555812163202469</v>
      </c>
      <c r="AU130" s="49">
        <f t="shared" si="283"/>
        <v>0.85602076756448653</v>
      </c>
      <c r="AV130" s="49">
        <f t="shared" si="283"/>
        <v>0.84050954224515251</v>
      </c>
      <c r="AW130" s="49">
        <f t="shared" si="283"/>
        <v>0.85525125421498482</v>
      </c>
      <c r="AX130" s="49">
        <f t="shared" si="283"/>
        <v>0.8827065226220453</v>
      </c>
      <c r="AY130" s="49">
        <f t="shared" si="283"/>
        <v>0.88672072002172475</v>
      </c>
      <c r="AZ130" s="49">
        <f t="shared" si="283"/>
        <v>0.85650593657749641</v>
      </c>
      <c r="BA130" s="49">
        <f t="shared" si="283"/>
        <v>0.84598810652417478</v>
      </c>
      <c r="BB130" s="49">
        <f t="shared" si="283"/>
        <v>0.82530266343825665</v>
      </c>
      <c r="BC130" s="49">
        <f t="shared" si="283"/>
        <v>0.82849295856950855</v>
      </c>
      <c r="BD130" s="49">
        <f t="shared" si="283"/>
        <v>0.83239620605441023</v>
      </c>
      <c r="BE130" s="49">
        <f t="shared" si="283"/>
        <v>0.82312152549465001</v>
      </c>
      <c r="BF130" s="49">
        <f t="shared" si="283"/>
        <v>0.7936030617823947</v>
      </c>
      <c r="BG130" s="49">
        <f t="shared" si="283"/>
        <v>0.81334138243284038</v>
      </c>
      <c r="BH130" s="49">
        <f t="shared" si="283"/>
        <v>0.81651737930257451</v>
      </c>
      <c r="BI130" s="49">
        <f t="shared" si="283"/>
        <v>0.8071569423500754</v>
      </c>
      <c r="BJ130" s="106">
        <f t="shared" si="283"/>
        <v>0.79923563836139977</v>
      </c>
      <c r="BK130" s="49">
        <f t="shared" si="283"/>
        <v>0.81301445330222311</v>
      </c>
      <c r="BL130" s="49">
        <f t="shared" si="283"/>
        <v>0.82300591087201969</v>
      </c>
      <c r="BM130" s="49">
        <f t="shared" si="283"/>
        <v>0.81647109330280476</v>
      </c>
      <c r="BN130" s="49">
        <f t="shared" si="283"/>
        <v>0.79626106920301742</v>
      </c>
      <c r="BO130" s="49">
        <f t="shared" si="283"/>
        <v>0.80629629629629629</v>
      </c>
      <c r="BP130" s="49">
        <f t="shared" ref="BP130:BW130" si="284">+BP117/BP115</f>
        <v>0.8308795190010021</v>
      </c>
      <c r="BQ130" s="49">
        <f t="shared" si="284"/>
        <v>0.82681297709923662</v>
      </c>
      <c r="BR130" s="49">
        <f t="shared" si="284"/>
        <v>0.80678284763901942</v>
      </c>
      <c r="BS130" s="138">
        <f t="shared" si="284"/>
        <v>0.82565183039241508</v>
      </c>
      <c r="BT130" s="49">
        <f t="shared" si="284"/>
        <v>0.81977782956575784</v>
      </c>
      <c r="BU130" s="49">
        <f t="shared" si="284"/>
        <v>0.8</v>
      </c>
      <c r="BV130" s="49">
        <f t="shared" si="284"/>
        <v>0.8</v>
      </c>
      <c r="BW130" s="138">
        <f t="shared" si="284"/>
        <v>0.83485651617620182</v>
      </c>
      <c r="BX130" s="49">
        <f t="shared" ref="BX130" si="285">+BX117/BX115</f>
        <v>0.8214766229397914</v>
      </c>
      <c r="BY130" s="138">
        <f t="shared" ref="BY130:BZ130" si="286">BY117/BY115</f>
        <v>0.8256121773659828</v>
      </c>
      <c r="BZ130" s="138">
        <f t="shared" si="286"/>
        <v>0.78733870392813854</v>
      </c>
      <c r="CA130" s="138">
        <f t="shared" ref="CA130:CB130" si="287">CA117/CA115</f>
        <v>0.80276816608996537</v>
      </c>
      <c r="CB130" s="138">
        <f t="shared" si="287"/>
        <v>0.75853936858120963</v>
      </c>
      <c r="CC130" s="138">
        <f t="shared" ref="CC130:CD130" si="288">CC117/CC115</f>
        <v>0.77335786004445461</v>
      </c>
      <c r="CD130" s="138">
        <f t="shared" si="288"/>
        <v>0.77644036697247709</v>
      </c>
      <c r="CE130" s="49"/>
      <c r="CF130" s="138">
        <f t="shared" ref="CF130:CJ130" si="289">CF117/CF115</f>
        <v>0.79902302861130492</v>
      </c>
      <c r="CG130" s="138">
        <f t="shared" si="289"/>
        <v>0.7950489786620093</v>
      </c>
      <c r="CH130" s="138">
        <f t="shared" si="289"/>
        <v>0.77649635036496345</v>
      </c>
      <c r="CI130" s="138">
        <f t="shared" si="289"/>
        <v>1</v>
      </c>
      <c r="CJ130" s="138">
        <f t="shared" si="289"/>
        <v>0.78637747901656396</v>
      </c>
      <c r="CK130" s="138">
        <f t="shared" ref="CK130:CL130" si="290">CK117/CK115</f>
        <v>0.79897721290516655</v>
      </c>
      <c r="CL130" s="138">
        <f t="shared" si="290"/>
        <v>0.78275763631173279</v>
      </c>
      <c r="CM130" s="138">
        <f t="shared" ref="CM130:CO130" si="291">CM117/CM115</f>
        <v>0.81538108707285373</v>
      </c>
      <c r="CN130" s="138">
        <f t="shared" si="291"/>
        <v>0.80282342050451283</v>
      </c>
      <c r="CO130" s="138">
        <f t="shared" si="291"/>
        <v>0.80610313830626079</v>
      </c>
      <c r="CP130" s="138">
        <f t="shared" ref="CP130" si="292">CP117/CP115</f>
        <v>0.79582220826134753</v>
      </c>
      <c r="CQ130" s="138">
        <f t="shared" ref="CQ130:CR130" si="293">CQ117/CQ115</f>
        <v>0.80470373140530205</v>
      </c>
      <c r="CR130" s="138">
        <f t="shared" si="293"/>
        <v>0.81049241461140775</v>
      </c>
      <c r="CS130" s="138">
        <f t="shared" ref="CS130:CT130" si="294">CS117/CS115</f>
        <v>0.80470954558723362</v>
      </c>
      <c r="CT130" s="138">
        <f t="shared" si="294"/>
        <v>0.75561097256857856</v>
      </c>
      <c r="CU130" s="138">
        <f>CU117/CU115</f>
        <v>0.71568519386039842</v>
      </c>
      <c r="CV130" s="138">
        <f t="shared" ref="CV130:CY130" si="295">CV117/CV115</f>
        <v>0.63230858775596588</v>
      </c>
      <c r="CW130" s="138">
        <f t="shared" si="295"/>
        <v>0.58909966377485368</v>
      </c>
      <c r="CX130" s="138">
        <f t="shared" si="295"/>
        <v>0.59263299211277065</v>
      </c>
      <c r="CY130" s="138">
        <f t="shared" si="295"/>
        <v>0.61194634743233023</v>
      </c>
      <c r="CZ130" s="138">
        <f t="shared" ref="CZ130:DA130" si="296">CZ117/CZ115</f>
        <v>0.68910852545525336</v>
      </c>
      <c r="DA130" s="138">
        <f t="shared" si="296"/>
        <v>0.73431078333876043</v>
      </c>
      <c r="DB130" s="138">
        <f t="shared" ref="DB130:DN130" si="297">DB117/DB115</f>
        <v>0.61129799803085005</v>
      </c>
      <c r="DC130" s="138">
        <f t="shared" si="297"/>
        <v>0.74</v>
      </c>
      <c r="DD130" s="138">
        <f t="shared" si="297"/>
        <v>0.74</v>
      </c>
      <c r="DE130" s="138">
        <f t="shared" si="297"/>
        <v>0.74</v>
      </c>
      <c r="DF130" s="138">
        <f t="shared" si="297"/>
        <v>0.4901396589234332</v>
      </c>
      <c r="DG130" s="138">
        <f t="shared" si="297"/>
        <v>0</v>
      </c>
      <c r="DH130" s="138">
        <f t="shared" si="297"/>
        <v>0</v>
      </c>
      <c r="DI130" s="138">
        <f t="shared" si="297"/>
        <v>0.72467943286448622</v>
      </c>
      <c r="DJ130" s="138">
        <f t="shared" si="297"/>
        <v>0.67668918918918919</v>
      </c>
      <c r="DK130" s="138">
        <f t="shared" si="297"/>
        <v>0.80000000000000016</v>
      </c>
      <c r="DL130" s="138">
        <f t="shared" si="297"/>
        <v>0.80000000000000016</v>
      </c>
      <c r="DM130" s="138">
        <f t="shared" si="297"/>
        <v>0.8</v>
      </c>
      <c r="DN130" s="138">
        <f t="shared" si="297"/>
        <v>0.8</v>
      </c>
      <c r="DO130" s="138"/>
      <c r="DP130" s="49"/>
      <c r="DQ130" s="49"/>
      <c r="DU130" s="49"/>
      <c r="DV130" s="49">
        <f t="shared" ref="DV130:EJ130" si="298">DV117/DV115</f>
        <v>0.78412937194433996</v>
      </c>
      <c r="DW130" s="49">
        <f t="shared" si="298"/>
        <v>0.78405348767588068</v>
      </c>
      <c r="DX130" s="49">
        <f t="shared" si="298"/>
        <v>0.80753582168759952</v>
      </c>
      <c r="DY130" s="49">
        <f t="shared" si="298"/>
        <v>0.81813819577735125</v>
      </c>
      <c r="DZ130" s="49">
        <f t="shared" si="298"/>
        <v>0.84539279385705846</v>
      </c>
      <c r="EA130" s="49">
        <f t="shared" si="298"/>
        <v>0.80040980056776045</v>
      </c>
      <c r="EB130" s="49">
        <f t="shared" si="298"/>
        <v>0.83407722999932377</v>
      </c>
      <c r="EC130" s="49">
        <f t="shared" si="298"/>
        <v>0.85624036400556536</v>
      </c>
      <c r="ED130" s="49">
        <f t="shared" si="298"/>
        <v>0.81962793205715823</v>
      </c>
      <c r="EE130" s="49">
        <f t="shared" si="298"/>
        <v>0.77368351415718439</v>
      </c>
      <c r="EF130" s="49">
        <f t="shared" si="298"/>
        <v>0.81875159524687335</v>
      </c>
      <c r="EG130" s="49">
        <f t="shared" si="298"/>
        <v>0.78957781721900555</v>
      </c>
      <c r="EH130" s="49">
        <f t="shared" si="298"/>
        <v>0.79036329711337938</v>
      </c>
      <c r="EI130" s="49">
        <f t="shared" si="298"/>
        <v>0.8</v>
      </c>
      <c r="EJ130" s="49">
        <f t="shared" si="298"/>
        <v>1.5668896004006725</v>
      </c>
      <c r="EK130" s="49">
        <v>0.84499999999999997</v>
      </c>
      <c r="EL130" s="49">
        <f>EL117/EL115</f>
        <v>1.3074898136702835</v>
      </c>
      <c r="EM130" s="49">
        <f>EM117/EM115</f>
        <v>1.3279192695819317</v>
      </c>
      <c r="EN130" s="49">
        <f>EN117/EN115</f>
        <v>1.409632459399585</v>
      </c>
      <c r="EO130" s="49">
        <f>EO117/EO115</f>
        <v>0.83785355640424175</v>
      </c>
      <c r="EP130" s="49"/>
      <c r="EQ130" s="49"/>
      <c r="ER130" s="49"/>
      <c r="ES130" s="49"/>
      <c r="ET130" s="49"/>
      <c r="EU130" s="49"/>
      <c r="EV130" s="49">
        <f t="shared" ref="EV130" si="299">+EV117/EV115</f>
        <v>0.79371638462547556</v>
      </c>
      <c r="EW130" s="49">
        <f>+EW117/EW115</f>
        <v>0.62276375188095634</v>
      </c>
      <c r="EX130" s="49">
        <f>+EX117/EX115</f>
        <v>0.65918995641917555</v>
      </c>
      <c r="EY130" s="49">
        <f>+EY117/EY115</f>
        <v>0.67011955698765691</v>
      </c>
      <c r="EZ130" s="49">
        <f t="shared" ref="EZ130:FF130" si="300">+EZ117/EZ115</f>
        <v>0.73</v>
      </c>
      <c r="FA130" s="49">
        <f t="shared" si="300"/>
        <v>0.8</v>
      </c>
      <c r="FB130" s="49">
        <f t="shared" si="300"/>
        <v>0.75</v>
      </c>
      <c r="FC130" s="49">
        <f t="shared" si="300"/>
        <v>0.76</v>
      </c>
      <c r="FD130" s="49">
        <f t="shared" si="300"/>
        <v>0.77</v>
      </c>
      <c r="FE130" s="49">
        <f t="shared" si="300"/>
        <v>0.78</v>
      </c>
      <c r="FF130" s="49">
        <f t="shared" si="300"/>
        <v>0.79</v>
      </c>
      <c r="FG130" s="49">
        <f t="shared" ref="FG130:FK130" si="301">+FG117/FG115</f>
        <v>0.78999999999999992</v>
      </c>
      <c r="FH130" s="49">
        <f t="shared" si="301"/>
        <v>0.79</v>
      </c>
      <c r="FI130" s="49">
        <f t="shared" si="301"/>
        <v>0.79</v>
      </c>
      <c r="FJ130" s="49">
        <f t="shared" si="301"/>
        <v>0.79</v>
      </c>
      <c r="FK130" s="49">
        <f t="shared" si="301"/>
        <v>0.79000000000000015</v>
      </c>
      <c r="FL130" s="49"/>
      <c r="FM130" s="49"/>
      <c r="FN130" s="49"/>
      <c r="FO130" s="49"/>
      <c r="FP130" s="49"/>
      <c r="FQ130" s="91"/>
      <c r="FR130" s="49">
        <f>+FR152/22.73-1</f>
        <v>-3.4041709615333482E-2</v>
      </c>
      <c r="FS130" s="92"/>
      <c r="FT130" s="49"/>
      <c r="FU130" s="22" t="s">
        <v>805</v>
      </c>
    </row>
    <row r="131" spans="2:179">
      <c r="B131" s="4" t="s">
        <v>806</v>
      </c>
      <c r="AE131" s="49">
        <f>AE118/AE115</f>
        <v>0.40662090070716678</v>
      </c>
      <c r="AF131" s="49">
        <f>AF118/AF115</f>
        <v>0.45374623032576378</v>
      </c>
      <c r="AG131" s="49">
        <f>AG118/AG115</f>
        <v>0.4068220304814128</v>
      </c>
      <c r="AH131" s="49">
        <f>AH118/AH115</f>
        <v>0.34615754758185707</v>
      </c>
      <c r="AK131" s="49">
        <f t="shared" ref="AK131:BW131" si="302">AK118/AK115</f>
        <v>0.31242797307285747</v>
      </c>
      <c r="AL131" s="49">
        <f t="shared" si="302"/>
        <v>0.33981762049053799</v>
      </c>
      <c r="AM131" s="49">
        <f t="shared" si="302"/>
        <v>0.25932659109658102</v>
      </c>
      <c r="AN131" s="49">
        <f t="shared" si="302"/>
        <v>0.3137235708692247</v>
      </c>
      <c r="AO131" s="49">
        <f t="shared" si="302"/>
        <v>0.2932805829645499</v>
      </c>
      <c r="AP131" s="49">
        <f t="shared" si="302"/>
        <v>0.34811937701740597</v>
      </c>
      <c r="AQ131" s="49">
        <f t="shared" si="302"/>
        <v>0.26551226551226553</v>
      </c>
      <c r="AR131" s="49">
        <f t="shared" si="302"/>
        <v>0.3396788163118008</v>
      </c>
      <c r="AS131" s="49">
        <f t="shared" si="302"/>
        <v>0.30443514644351466</v>
      </c>
      <c r="AT131" s="49">
        <f t="shared" si="302"/>
        <v>0.34888375673595073</v>
      </c>
      <c r="AU131" s="49">
        <f t="shared" si="302"/>
        <v>0.27268066854036976</v>
      </c>
      <c r="AV131" s="49">
        <f t="shared" si="302"/>
        <v>0.28952688205398641</v>
      </c>
      <c r="AW131" s="49">
        <f t="shared" si="302"/>
        <v>0.28201332346410068</v>
      </c>
      <c r="AX131" s="49">
        <f t="shared" si="302"/>
        <v>0.28511087645195354</v>
      </c>
      <c r="AY131" s="49">
        <f t="shared" si="302"/>
        <v>0.24397287849202348</v>
      </c>
      <c r="AZ131" s="49">
        <f t="shared" si="302"/>
        <v>0.27779633630548745</v>
      </c>
      <c r="BA131" s="49">
        <f t="shared" si="302"/>
        <v>0.27794535895888994</v>
      </c>
      <c r="BB131" s="49">
        <f t="shared" si="302"/>
        <v>0.32354721549636806</v>
      </c>
      <c r="BC131" s="49">
        <f t="shared" si="302"/>
        <v>0.25565359668088589</v>
      </c>
      <c r="BD131" s="49">
        <f t="shared" si="302"/>
        <v>0.26847276651331858</v>
      </c>
      <c r="BE131" s="49">
        <f t="shared" si="302"/>
        <v>0.27586825273477195</v>
      </c>
      <c r="BF131" s="49">
        <f t="shared" si="302"/>
        <v>0.31399671951886277</v>
      </c>
      <c r="BG131" s="49">
        <f t="shared" si="302"/>
        <v>0.27171747660730455</v>
      </c>
      <c r="BH131" s="49">
        <f t="shared" si="302"/>
        <v>0.27885752915328715</v>
      </c>
      <c r="BI131" s="49">
        <f t="shared" si="302"/>
        <v>0.26447047906275373</v>
      </c>
      <c r="BJ131" s="106">
        <f t="shared" si="302"/>
        <v>0.31930013137465663</v>
      </c>
      <c r="BK131" s="49">
        <f t="shared" si="302"/>
        <v>0.26644630241752543</v>
      </c>
      <c r="BL131" s="49">
        <f t="shared" si="302"/>
        <v>0.26147306900444978</v>
      </c>
      <c r="BM131" s="49">
        <f t="shared" si="302"/>
        <v>0.26681453921007442</v>
      </c>
      <c r="BN131" s="49">
        <f t="shared" si="302"/>
        <v>0.30554280091833386</v>
      </c>
      <c r="BO131" s="49">
        <f t="shared" si="302"/>
        <v>0.25881481481481483</v>
      </c>
      <c r="BP131" s="49">
        <f t="shared" si="302"/>
        <v>0.27364526323903493</v>
      </c>
      <c r="BQ131" s="49">
        <f t="shared" si="302"/>
        <v>0.26645992366412213</v>
      </c>
      <c r="BR131" s="49">
        <f t="shared" si="302"/>
        <v>0.29597223226552893</v>
      </c>
      <c r="BS131" s="138">
        <f t="shared" si="302"/>
        <v>0.26512158721797913</v>
      </c>
      <c r="BT131" s="49">
        <f t="shared" si="302"/>
        <v>0.2707993474714519</v>
      </c>
      <c r="BU131" s="49">
        <f t="shared" si="302"/>
        <v>0.2519548872180451</v>
      </c>
      <c r="BV131" s="49">
        <f t="shared" si="302"/>
        <v>0.29843809962391588</v>
      </c>
      <c r="BW131" s="138">
        <f t="shared" si="302"/>
        <v>0.28130140742094684</v>
      </c>
      <c r="BX131" s="49">
        <f t="shared" ref="BX131" si="303">BX118/BX115</f>
        <v>0.28355196770938446</v>
      </c>
      <c r="BY131" s="138">
        <f t="shared" ref="BY131:BZ131" si="304">BY118/BY115</f>
        <v>0.27101257445400395</v>
      </c>
      <c r="BZ131" s="138">
        <f t="shared" si="304"/>
        <v>0.3277963926712768</v>
      </c>
      <c r="CA131" s="138">
        <f t="shared" ref="CA131:CB131" si="305">CA118/CA115</f>
        <v>0.2589773164167628</v>
      </c>
      <c r="CB131" s="138">
        <f t="shared" si="305"/>
        <v>0.26405477367820462</v>
      </c>
      <c r="CC131" s="138">
        <f t="shared" ref="CC131:CD131" si="306">CC118/CC115</f>
        <v>0.27063692802943207</v>
      </c>
      <c r="CD131" s="138">
        <f t="shared" si="306"/>
        <v>0.32308256880733943</v>
      </c>
      <c r="CE131" s="49"/>
      <c r="CF131" s="138">
        <f t="shared" ref="CF131:CJ131" si="307">CF118/CF115</f>
        <v>0.2628518260060479</v>
      </c>
      <c r="CG131" s="138">
        <f t="shared" si="307"/>
        <v>0.26410509529956716</v>
      </c>
      <c r="CH131" s="138">
        <f t="shared" si="307"/>
        <v>0.31518248175182484</v>
      </c>
      <c r="CI131" s="138">
        <f t="shared" si="307"/>
        <v>0</v>
      </c>
      <c r="CJ131" s="138">
        <f t="shared" si="307"/>
        <v>0.26049171804204113</v>
      </c>
      <c r="CK131" s="138">
        <f t="shared" ref="CK131:CL131" si="308">CK118/CK115</f>
        <v>0.26103632398285326</v>
      </c>
      <c r="CL131" s="138">
        <f t="shared" si="308"/>
        <v>0.2831858407079646</v>
      </c>
      <c r="CM131" s="138">
        <f t="shared" ref="CM131:CO131" si="309">CM118/CM115</f>
        <v>0.25311520525953674</v>
      </c>
      <c r="CN131" s="138">
        <f t="shared" si="309"/>
        <v>0.26722209365116101</v>
      </c>
      <c r="CO131" s="138">
        <f t="shared" si="309"/>
        <v>0.25201072386058981</v>
      </c>
      <c r="CP131" s="138">
        <f t="shared" ref="CP131" si="310">CP118/CP115</f>
        <v>0.31961677399089056</v>
      </c>
      <c r="CQ131" s="138">
        <f t="shared" ref="CQ131:CR131" si="311">CQ118/CQ115</f>
        <v>0.22812266267763651</v>
      </c>
      <c r="CR131" s="138">
        <f t="shared" si="311"/>
        <v>0.23798627002288331</v>
      </c>
      <c r="CS131" s="138">
        <f t="shared" ref="CS131:CT131" si="312">CS118/CS115</f>
        <v>0.25863578865427655</v>
      </c>
      <c r="CT131" s="138">
        <f t="shared" si="312"/>
        <v>0.30785106200017198</v>
      </c>
      <c r="CU131" s="138">
        <f>CU118/CU115</f>
        <v>0.182079969136653</v>
      </c>
      <c r="CV131" s="138">
        <f t="shared" ref="CV131:CY131" si="313">CV118/CV115</f>
        <v>0.14699190433356263</v>
      </c>
      <c r="CW131" s="138">
        <f t="shared" si="313"/>
        <v>0.11286372504254701</v>
      </c>
      <c r="CX131" s="138">
        <f t="shared" si="313"/>
        <v>0.16533814398388991</v>
      </c>
      <c r="CY131" s="138">
        <f t="shared" si="313"/>
        <v>9.7266711870747508E-2</v>
      </c>
      <c r="CZ131" s="138">
        <f t="shared" ref="CZ131:DA131" si="314">CZ118/CZ115</f>
        <v>0.10453162622374089</v>
      </c>
      <c r="DA131" s="138">
        <f t="shared" si="314"/>
        <v>0.14252523563526914</v>
      </c>
      <c r="DB131" s="138">
        <f t="shared" ref="DB131:DF131" si="315">DB118/DB115</f>
        <v>0.18107975057433542</v>
      </c>
      <c r="DC131" s="138">
        <f t="shared" si="315"/>
        <v>0.14439669421487605</v>
      </c>
      <c r="DD131" s="138">
        <f t="shared" si="315"/>
        <v>0.23914238592633316</v>
      </c>
      <c r="DE131" s="138">
        <f t="shared" si="315"/>
        <v>0.25702463724304719</v>
      </c>
      <c r="DF131" s="138">
        <f t="shared" si="315"/>
        <v>0.31377640536177975</v>
      </c>
      <c r="DG131" s="138"/>
      <c r="DH131" s="138"/>
      <c r="DI131" s="138"/>
      <c r="DJ131" s="138"/>
      <c r="DK131" s="138"/>
      <c r="DL131" s="138"/>
      <c r="DM131" s="138"/>
      <c r="DN131" s="138"/>
      <c r="DO131" s="138"/>
      <c r="DP131" s="49"/>
      <c r="DQ131" s="49"/>
      <c r="DU131" s="49"/>
      <c r="DV131" s="49">
        <f t="shared" ref="DV131:ES131" si="316">DV118/DV115</f>
        <v>0.39914754920396139</v>
      </c>
      <c r="DW131" s="49">
        <f t="shared" si="316"/>
        <v>0.38469214649236605</v>
      </c>
      <c r="DX131" s="49">
        <f t="shared" si="316"/>
        <v>0.38616663718379624</v>
      </c>
      <c r="DY131" s="49">
        <f t="shared" si="316"/>
        <v>0.39635316698656431</v>
      </c>
      <c r="DZ131" s="49">
        <f t="shared" si="316"/>
        <v>0.41110454813939751</v>
      </c>
      <c r="EA131" s="49">
        <f t="shared" si="316"/>
        <v>0.39487006878889269</v>
      </c>
      <c r="EB131" s="49">
        <f t="shared" si="316"/>
        <v>0.38689389328464191</v>
      </c>
      <c r="EC131" s="49">
        <f t="shared" si="316"/>
        <v>0.3653969089610048</v>
      </c>
      <c r="ED131" s="49">
        <f t="shared" si="316"/>
        <v>0.4866091489170486</v>
      </c>
      <c r="EE131" s="49">
        <f t="shared" si="316"/>
        <v>0.49970230219634826</v>
      </c>
      <c r="EF131" s="49">
        <f t="shared" si="316"/>
        <v>0.43402058931964493</v>
      </c>
      <c r="EG131" s="49">
        <f t="shared" si="316"/>
        <v>0.44554685908813174</v>
      </c>
      <c r="EH131" s="49">
        <f t="shared" si="316"/>
        <v>0.42775216770936231</v>
      </c>
      <c r="EI131" s="49">
        <f t="shared" si="316"/>
        <v>0.45555017087239635</v>
      </c>
      <c r="EJ131" s="49">
        <f t="shared" si="316"/>
        <v>0.50241476764569093</v>
      </c>
      <c r="EK131" s="49">
        <f t="shared" si="316"/>
        <v>0.39870578319149513</v>
      </c>
      <c r="EL131" s="49">
        <f t="shared" si="316"/>
        <v>0.44545163210181754</v>
      </c>
      <c r="EM131" s="49">
        <f t="shared" si="316"/>
        <v>0.46511292647765495</v>
      </c>
      <c r="EN131" s="49">
        <f t="shared" si="316"/>
        <v>0.47781440973130757</v>
      </c>
      <c r="EO131" s="49">
        <f t="shared" si="316"/>
        <v>0.28086772773975921</v>
      </c>
      <c r="EP131" s="49">
        <f t="shared" si="316"/>
        <v>0</v>
      </c>
      <c r="EQ131" s="49">
        <f t="shared" si="316"/>
        <v>0</v>
      </c>
      <c r="ER131" s="49">
        <f t="shared" si="316"/>
        <v>0</v>
      </c>
      <c r="ES131" s="49">
        <f t="shared" si="316"/>
        <v>0</v>
      </c>
      <c r="ET131" s="49"/>
      <c r="EU131" s="49"/>
      <c r="EV131" s="49">
        <f t="shared" ref="EV131:EW131" si="317">+EV118/EV115</f>
        <v>0.25779439415803052</v>
      </c>
      <c r="EW131" s="49">
        <f t="shared" si="317"/>
        <v>0.14852178958859918</v>
      </c>
      <c r="EX131" s="49">
        <f t="shared" ref="EX131:EY131" si="318">+EX118/EX115</f>
        <v>0.13043260965175324</v>
      </c>
      <c r="EY131" s="49">
        <f t="shared" si="318"/>
        <v>0.23837004560421179</v>
      </c>
      <c r="EZ131" s="49">
        <f t="shared" ref="EZ131:FF131" si="319">+EZ118/EZ115</f>
        <v>0.19237349017131128</v>
      </c>
      <c r="FA131" s="49">
        <f t="shared" si="319"/>
        <v>0.25000000000000006</v>
      </c>
      <c r="FB131" s="49">
        <f t="shared" si="319"/>
        <v>0.24798200056044195</v>
      </c>
      <c r="FC131" s="49">
        <f t="shared" si="319"/>
        <v>0.24662097936676022</v>
      </c>
      <c r="FD131" s="49">
        <f t="shared" si="319"/>
        <v>0.24067878510987917</v>
      </c>
      <c r="FE131" s="49">
        <f t="shared" si="319"/>
        <v>0.28183749561896065</v>
      </c>
      <c r="FF131" s="49">
        <f t="shared" si="319"/>
        <v>0.27866792409733265</v>
      </c>
      <c r="FG131" s="49">
        <f t="shared" ref="FG131:FK131" si="320">+FG118/FG115</f>
        <v>0.29695415051639251</v>
      </c>
      <c r="FH131" s="49">
        <f t="shared" si="320"/>
        <v>0.28642502672545506</v>
      </c>
      <c r="FI131" s="49">
        <f t="shared" si="320"/>
        <v>0.2742761139123005</v>
      </c>
      <c r="FJ131" s="49">
        <f t="shared" si="320"/>
        <v>0.26100710111039793</v>
      </c>
      <c r="FK131" s="49">
        <f t="shared" si="320"/>
        <v>0.24692584474591422</v>
      </c>
      <c r="FL131" s="49"/>
      <c r="FM131" s="49"/>
      <c r="FN131" s="49"/>
      <c r="FO131" s="49"/>
      <c r="FP131" s="49"/>
      <c r="FQ131" s="91"/>
      <c r="FR131" s="49"/>
      <c r="FS131" s="92"/>
      <c r="FT131" s="49"/>
      <c r="FU131" s="14" t="s">
        <v>807</v>
      </c>
    </row>
    <row r="132" spans="2:179">
      <c r="B132" s="4" t="s">
        <v>808</v>
      </c>
      <c r="AE132" s="49">
        <f>AF119/AF115</f>
        <v>0.19245319210153344</v>
      </c>
      <c r="AF132" s="49">
        <f>AG119/AG115</f>
        <v>0.1903072332876381</v>
      </c>
      <c r="AG132" s="49">
        <f>AH119/AH115</f>
        <v>0.17233848818874323</v>
      </c>
      <c r="AH132" s="49">
        <f>AI119/AI115</f>
        <v>0.14133369654918235</v>
      </c>
      <c r="AK132" s="49">
        <f t="shared" ref="AK132:BW132" si="321">AK119/AK115</f>
        <v>0.14170925362220932</v>
      </c>
      <c r="AL132" s="49">
        <f t="shared" si="321"/>
        <v>0.1443599565490824</v>
      </c>
      <c r="AM132" s="49">
        <f t="shared" si="321"/>
        <v>0.11786183506981576</v>
      </c>
      <c r="AN132" s="49">
        <f t="shared" si="321"/>
        <v>0.13883450796136779</v>
      </c>
      <c r="AO132" s="49">
        <f t="shared" si="321"/>
        <v>0.14871225507826549</v>
      </c>
      <c r="AP132" s="49">
        <f t="shared" si="321"/>
        <v>0.1840561020092028</v>
      </c>
      <c r="AQ132" s="49">
        <f t="shared" si="321"/>
        <v>0.13099246432579767</v>
      </c>
      <c r="AR132" s="49">
        <f t="shared" si="321"/>
        <v>0.1654637315048719</v>
      </c>
      <c r="AS132" s="49">
        <f t="shared" si="321"/>
        <v>0.14476987447698744</v>
      </c>
      <c r="AT132" s="49">
        <f t="shared" si="321"/>
        <v>0.16628175519630484</v>
      </c>
      <c r="AU132" s="49">
        <f t="shared" si="321"/>
        <v>0.1310211015163173</v>
      </c>
      <c r="AV132" s="49">
        <f t="shared" si="321"/>
        <v>0.14640848012957267</v>
      </c>
      <c r="AW132" s="49">
        <f t="shared" si="321"/>
        <v>0.14548893823505221</v>
      </c>
      <c r="AX132" s="49">
        <f t="shared" si="321"/>
        <v>0.17967671188368126</v>
      </c>
      <c r="AY132" s="49">
        <f t="shared" si="321"/>
        <v>0.14414228015500469</v>
      </c>
      <c r="AZ132" s="49">
        <f t="shared" si="321"/>
        <v>0.14094078827263701</v>
      </c>
      <c r="BA132" s="49">
        <f t="shared" si="321"/>
        <v>0.13953287942773421</v>
      </c>
      <c r="BB132" s="49">
        <f t="shared" si="321"/>
        <v>0.16943099273607748</v>
      </c>
      <c r="BC132" s="49">
        <f t="shared" si="321"/>
        <v>0.12832349675685151</v>
      </c>
      <c r="BD132" s="49">
        <f t="shared" si="321"/>
        <v>0.12392798318850458</v>
      </c>
      <c r="BE132" s="49">
        <f t="shared" si="321"/>
        <v>0.12911710203837648</v>
      </c>
      <c r="BF132" s="49">
        <f t="shared" si="321"/>
        <v>0.15308911973756151</v>
      </c>
      <c r="BG132" s="49">
        <f t="shared" si="321"/>
        <v>0.12176275279203139</v>
      </c>
      <c r="BH132" s="49">
        <f t="shared" si="321"/>
        <v>0.11599346515689257</v>
      </c>
      <c r="BI132" s="49">
        <f t="shared" si="321"/>
        <v>0.1179677531608862</v>
      </c>
      <c r="BJ132" s="106">
        <f t="shared" si="321"/>
        <v>0.13895855726740713</v>
      </c>
      <c r="BK132" s="49">
        <f t="shared" si="321"/>
        <v>0.1137468403655454</v>
      </c>
      <c r="BL132" s="49">
        <f t="shared" si="321"/>
        <v>0.11051338247990967</v>
      </c>
      <c r="BM132" s="49">
        <f t="shared" si="321"/>
        <v>0.13845163136805952</v>
      </c>
      <c r="BN132" s="49">
        <f t="shared" si="321"/>
        <v>0.13119055428009183</v>
      </c>
      <c r="BO132" s="49">
        <f t="shared" si="321"/>
        <v>0.12651851851851853</v>
      </c>
      <c r="BP132" s="49">
        <f t="shared" si="321"/>
        <v>0.11724350574269637</v>
      </c>
      <c r="BQ132" s="49">
        <f t="shared" si="321"/>
        <v>0.12921437659033078</v>
      </c>
      <c r="BR132" s="49">
        <f t="shared" si="321"/>
        <v>0.12943813724781256</v>
      </c>
      <c r="BS132" s="138">
        <f t="shared" si="321"/>
        <v>0.14151523132297428</v>
      </c>
      <c r="BT132" s="49">
        <f t="shared" si="321"/>
        <v>0.13314689660529791</v>
      </c>
      <c r="BU132" s="49">
        <f t="shared" si="321"/>
        <v>0.12218045112781954</v>
      </c>
      <c r="BV132" s="49">
        <f t="shared" si="321"/>
        <v>0.13051654002609564</v>
      </c>
      <c r="BW132" s="138">
        <f t="shared" si="321"/>
        <v>0.17154085176384573</v>
      </c>
      <c r="BX132" s="49">
        <f t="shared" ref="BX132" si="322">BX119/BX115</f>
        <v>0.14564413050790448</v>
      </c>
      <c r="BY132" s="138">
        <f t="shared" ref="BY132:BZ132" si="323">BY119/BY115</f>
        <v>0.14270350761085374</v>
      </c>
      <c r="BZ132" s="138">
        <f t="shared" si="323"/>
        <v>0.16525272688386683</v>
      </c>
      <c r="CA132" s="138">
        <f t="shared" ref="CA132:CB132" si="324">CA119/CA115</f>
        <v>0.1324875048058439</v>
      </c>
      <c r="CB132" s="138">
        <f t="shared" si="324"/>
        <v>0.13297831875237734</v>
      </c>
      <c r="CC132" s="138">
        <f t="shared" ref="CC132:CD132" si="325">CC119/CC115</f>
        <v>0.14355790603203802</v>
      </c>
      <c r="CD132" s="138">
        <f t="shared" si="325"/>
        <v>0.18385321100917432</v>
      </c>
      <c r="CE132" s="49"/>
      <c r="CF132" s="138">
        <f t="shared" ref="CF132:CJ132" si="326">CF119/CF115</f>
        <v>0.13778398077072188</v>
      </c>
      <c r="CG132" s="138">
        <f t="shared" si="326"/>
        <v>0.14055736958007442</v>
      </c>
      <c r="CH132" s="138">
        <f t="shared" si="326"/>
        <v>0.16788321167883211</v>
      </c>
      <c r="CI132" s="138">
        <f t="shared" si="326"/>
        <v>0</v>
      </c>
      <c r="CJ132" s="138">
        <f t="shared" si="326"/>
        <v>0.13288271559087869</v>
      </c>
      <c r="CK132" s="138">
        <f t="shared" ref="CK132:CL132" si="327">CK119/CK115</f>
        <v>0.15025945702038054</v>
      </c>
      <c r="CL132" s="138">
        <f t="shared" si="327"/>
        <v>0.17385098487011133</v>
      </c>
      <c r="CM132" s="138">
        <f t="shared" ref="CM132:CO132" si="328">CM119/CM115</f>
        <v>0.1294243559360905</v>
      </c>
      <c r="CN132" s="138">
        <f t="shared" si="328"/>
        <v>0.14078531204196559</v>
      </c>
      <c r="CO132" s="138">
        <f t="shared" si="328"/>
        <v>0.15297271723702885</v>
      </c>
      <c r="CP132" s="138">
        <f t="shared" ref="CP132" si="329">CP119/CP115</f>
        <v>0.19868069734568872</v>
      </c>
      <c r="CQ132" s="138">
        <f t="shared" ref="CQ132:CR132" si="330">CQ119/CQ115</f>
        <v>0.1435219812183163</v>
      </c>
      <c r="CR132" s="138">
        <f t="shared" si="330"/>
        <v>0.16060683108738028</v>
      </c>
      <c r="CS132" s="138">
        <f t="shared" ref="CS132:CT132" si="331">CS119/CS115</f>
        <v>0.22380072005449062</v>
      </c>
      <c r="CT132" s="138">
        <f t="shared" si="331"/>
        <v>0.26382320061914177</v>
      </c>
      <c r="CU132" s="138">
        <f>CU119/CU115</f>
        <v>0.13723166799856706</v>
      </c>
      <c r="CV132" s="138">
        <f t="shared" ref="CV132:CY132" si="332">CV119/CV115</f>
        <v>0.11836605111381554</v>
      </c>
      <c r="CW132" s="138">
        <f t="shared" si="332"/>
        <v>0.1112863725042547</v>
      </c>
      <c r="CX132" s="138">
        <f t="shared" si="332"/>
        <v>0.14696257761369358</v>
      </c>
      <c r="CY132" s="138">
        <f t="shared" si="332"/>
        <v>8.94339357946176E-2</v>
      </c>
      <c r="CZ132" s="138">
        <f t="shared" ref="CZ132:DA132" si="333">CZ119/CZ115</f>
        <v>0.10132358666032264</v>
      </c>
      <c r="DA132" s="138">
        <f t="shared" si="333"/>
        <v>0.11863168733333919</v>
      </c>
      <c r="DB132" s="138">
        <f t="shared" ref="DB132:DF132" si="334">DB119/DB115</f>
        <v>0.14830160813915327</v>
      </c>
      <c r="DC132" s="138">
        <f t="shared" si="334"/>
        <v>0.13276859504132232</v>
      </c>
      <c r="DD132" s="138">
        <f t="shared" si="334"/>
        <v>0.2318031885651457</v>
      </c>
      <c r="DE132" s="138">
        <f t="shared" si="334"/>
        <v>0.21393591293833134</v>
      </c>
      <c r="DF132" s="138">
        <f t="shared" si="334"/>
        <v>0.1943996069899642</v>
      </c>
      <c r="DG132" s="138"/>
      <c r="DH132" s="138"/>
      <c r="DI132" s="138"/>
      <c r="DJ132" s="138"/>
      <c r="DK132" s="138"/>
      <c r="DL132" s="138"/>
      <c r="DM132" s="138"/>
      <c r="DN132" s="138"/>
      <c r="DO132" s="138"/>
      <c r="DP132" s="49"/>
      <c r="DQ132" s="49"/>
      <c r="DU132" s="49"/>
      <c r="DV132" s="49">
        <f t="shared" ref="DV132:EN132" si="335">DV119/DV115</f>
        <v>0.14115582299109941</v>
      </c>
      <c r="DW132" s="49">
        <f t="shared" si="335"/>
        <v>0.14389781458936235</v>
      </c>
      <c r="DX132" s="49">
        <f t="shared" si="335"/>
        <v>0.14894746152485405</v>
      </c>
      <c r="DY132" s="49">
        <f t="shared" si="335"/>
        <v>0.15419065898912349</v>
      </c>
      <c r="DZ132" s="49">
        <f t="shared" si="335"/>
        <v>0.1682663910218547</v>
      </c>
      <c r="EA132" s="49">
        <f t="shared" si="335"/>
        <v>0.14742789987344782</v>
      </c>
      <c r="EB132" s="49">
        <f t="shared" si="335"/>
        <v>0.14996280516670049</v>
      </c>
      <c r="EC132" s="49">
        <f t="shared" si="335"/>
        <v>0.18410860000752077</v>
      </c>
      <c r="ED132" s="49">
        <f t="shared" si="335"/>
        <v>0.23155387795452503</v>
      </c>
      <c r="EE132" s="49">
        <f t="shared" si="335"/>
        <v>0.24077136808679545</v>
      </c>
      <c r="EF132" s="49">
        <f t="shared" si="335"/>
        <v>0.21306826238620571</v>
      </c>
      <c r="EG132" s="49">
        <f t="shared" si="335"/>
        <v>0.21112048648491374</v>
      </c>
      <c r="EH132" s="49">
        <f t="shared" si="335"/>
        <v>0.20851168916694107</v>
      </c>
      <c r="EI132" s="49">
        <f t="shared" si="335"/>
        <v>0.2198424711273754</v>
      </c>
      <c r="EJ132" s="49">
        <f t="shared" si="335"/>
        <v>0.2678782241619862</v>
      </c>
      <c r="EK132" s="49">
        <f t="shared" si="335"/>
        <v>0.21060931509828978</v>
      </c>
      <c r="EL132" s="49">
        <f t="shared" si="335"/>
        <v>0.21375268964885777</v>
      </c>
      <c r="EM132" s="49">
        <f t="shared" si="335"/>
        <v>0.19822200864968764</v>
      </c>
      <c r="EN132" s="49">
        <f t="shared" si="335"/>
        <v>0.21380268750617804</v>
      </c>
      <c r="EO132" s="49"/>
      <c r="EP132" s="49"/>
      <c r="EQ132" s="49"/>
      <c r="ER132" s="49"/>
      <c r="ES132" s="49"/>
      <c r="ET132" s="49"/>
      <c r="EU132" s="49"/>
      <c r="EV132" s="49">
        <f t="shared" ref="EV132:EW132" si="336">+EV119/EV115</f>
        <v>0.19655428746337839</v>
      </c>
      <c r="EW132" s="49">
        <f t="shared" si="336"/>
        <v>0.12801567709511491</v>
      </c>
      <c r="EX132" s="49">
        <f t="shared" ref="EX132:EY132" si="337">+EX119/EX115</f>
        <v>0.11411978729359083</v>
      </c>
      <c r="EY132" s="49">
        <f t="shared" si="337"/>
        <v>0.19301850580177135</v>
      </c>
      <c r="EZ132" s="49">
        <f t="shared" ref="EZ132:FF132" si="338">+EZ119/EZ115</f>
        <v>0.15577311123391491</v>
      </c>
      <c r="FA132" s="49">
        <f t="shared" si="338"/>
        <v>0</v>
      </c>
      <c r="FB132" s="49">
        <f t="shared" si="338"/>
        <v>0</v>
      </c>
      <c r="FC132" s="49">
        <f t="shared" si="338"/>
        <v>0</v>
      </c>
      <c r="FD132" s="49">
        <f t="shared" si="338"/>
        <v>0</v>
      </c>
      <c r="FE132" s="49">
        <f t="shared" si="338"/>
        <v>0</v>
      </c>
      <c r="FF132" s="49">
        <f t="shared" si="338"/>
        <v>0</v>
      </c>
      <c r="FG132" s="49">
        <f t="shared" ref="FG132:FK132" si="339">+FG119/FG115</f>
        <v>0</v>
      </c>
      <c r="FH132" s="49">
        <f t="shared" si="339"/>
        <v>0</v>
      </c>
      <c r="FI132" s="49">
        <f t="shared" si="339"/>
        <v>0</v>
      </c>
      <c r="FJ132" s="49">
        <f t="shared" si="339"/>
        <v>0</v>
      </c>
      <c r="FK132" s="49">
        <f t="shared" si="339"/>
        <v>0</v>
      </c>
      <c r="FL132" s="49"/>
      <c r="FM132" s="49"/>
      <c r="FN132" s="49"/>
      <c r="FO132" s="49"/>
      <c r="FP132" s="49"/>
      <c r="FQ132" s="91"/>
      <c r="FR132" s="49"/>
      <c r="FS132" s="92"/>
      <c r="FT132" s="49"/>
      <c r="FU132" s="14" t="s">
        <v>809</v>
      </c>
    </row>
    <row r="133" spans="2:179">
      <c r="B133" s="4" t="s">
        <v>797</v>
      </c>
      <c r="AE133" s="49">
        <f>AE120/AE115</f>
        <v>0.23741780736942225</v>
      </c>
      <c r="AF133" s="49">
        <f>AF120/AF115</f>
        <v>0.16710179985294277</v>
      </c>
      <c r="AG133" s="49">
        <f>AG120/AG115</f>
        <v>0.23756148697685664</v>
      </c>
      <c r="AH133" s="49">
        <f>AH120/AH115</f>
        <v>0.31005381876327881</v>
      </c>
      <c r="AK133" s="49">
        <f t="shared" ref="AK133:BW133" si="340">AK120/AK115</f>
        <v>0.39421877111134074</v>
      </c>
      <c r="AL133" s="49">
        <f t="shared" si="340"/>
        <v>0.34816477045337602</v>
      </c>
      <c r="AM133" s="49">
        <f t="shared" si="340"/>
        <v>0.49517247700815792</v>
      </c>
      <c r="AN133" s="49">
        <f t="shared" si="340"/>
        <v>0.4099125554685461</v>
      </c>
      <c r="AO133" s="49">
        <f t="shared" si="340"/>
        <v>0.40460366854837443</v>
      </c>
      <c r="AP133" s="49">
        <f t="shared" si="340"/>
        <v>0.29864857646493248</v>
      </c>
      <c r="AQ133" s="49">
        <f t="shared" si="340"/>
        <v>0.4597562930896264</v>
      </c>
      <c r="AR133" s="49">
        <f t="shared" si="340"/>
        <v>0.3239805124503789</v>
      </c>
      <c r="AS133" s="49">
        <f t="shared" si="340"/>
        <v>0.39933054393305439</v>
      </c>
      <c r="AT133" s="49">
        <f t="shared" si="340"/>
        <v>0.31039260969976906</v>
      </c>
      <c r="AU133" s="49">
        <f t="shared" si="340"/>
        <v>0.45231899750779947</v>
      </c>
      <c r="AV133" s="49">
        <f t="shared" si="340"/>
        <v>0.4045741800615934</v>
      </c>
      <c r="AW133" s="49">
        <f t="shared" si="340"/>
        <v>0.42774899251583187</v>
      </c>
      <c r="AX133" s="49">
        <f t="shared" si="340"/>
        <v>0.41791893428641053</v>
      </c>
      <c r="AY133" s="49">
        <f t="shared" si="340"/>
        <v>0.49860556137469664</v>
      </c>
      <c r="AZ133" s="49">
        <f t="shared" si="340"/>
        <v>0.4377688119993719</v>
      </c>
      <c r="BA133" s="49">
        <f t="shared" si="340"/>
        <v>0.42850986813755065</v>
      </c>
      <c r="BB133" s="49">
        <f t="shared" si="340"/>
        <v>0.33232445520581116</v>
      </c>
      <c r="BC133" s="49">
        <f t="shared" si="340"/>
        <v>0.44451586513177116</v>
      </c>
      <c r="BD133" s="49">
        <f t="shared" si="340"/>
        <v>0.43999545635258702</v>
      </c>
      <c r="BE133" s="49">
        <f t="shared" si="340"/>
        <v>0.41813617072150161</v>
      </c>
      <c r="BF133" s="49">
        <f t="shared" si="340"/>
        <v>0.32651722252597049</v>
      </c>
      <c r="BG133" s="49">
        <f t="shared" si="340"/>
        <v>0.41986115303350435</v>
      </c>
      <c r="BH133" s="49">
        <f t="shared" si="340"/>
        <v>0.42166638499239478</v>
      </c>
      <c r="BI133" s="49">
        <f t="shared" si="340"/>
        <v>0.42471871012643547</v>
      </c>
      <c r="BJ133" s="106">
        <f t="shared" si="340"/>
        <v>0.34097694971933595</v>
      </c>
      <c r="BK133" s="49">
        <f t="shared" si="340"/>
        <v>0.43282131051915224</v>
      </c>
      <c r="BL133" s="49">
        <f t="shared" si="340"/>
        <v>0.45101945938766025</v>
      </c>
      <c r="BM133" s="49">
        <f t="shared" si="340"/>
        <v>0.41120492272467085</v>
      </c>
      <c r="BN133" s="49">
        <f t="shared" si="340"/>
        <v>0.35952771400459166</v>
      </c>
      <c r="BO133" s="49">
        <f t="shared" si="340"/>
        <v>0.42096296296296298</v>
      </c>
      <c r="BP133" s="49">
        <f t="shared" si="340"/>
        <v>0.43999075001927079</v>
      </c>
      <c r="BQ133" s="49">
        <f t="shared" si="340"/>
        <v>0.43113867684478374</v>
      </c>
      <c r="BR133" s="49">
        <f t="shared" si="340"/>
        <v>0.38137247812567793</v>
      </c>
      <c r="BS133" s="138">
        <f t="shared" si="340"/>
        <v>0.41901501185146167</v>
      </c>
      <c r="BT133" s="49">
        <f t="shared" si="340"/>
        <v>0.415831585489008</v>
      </c>
      <c r="BU133" s="49">
        <f t="shared" si="340"/>
        <v>0.42586466165413533</v>
      </c>
      <c r="BV133" s="49">
        <f t="shared" si="340"/>
        <v>0.37104536034998853</v>
      </c>
      <c r="BW133" s="138">
        <f t="shared" si="340"/>
        <v>0.38201425699140923</v>
      </c>
      <c r="BX133" s="49">
        <f t="shared" ref="BX133" si="341">BX120/BX115</f>
        <v>0.39228052472250252</v>
      </c>
      <c r="BY133" s="138">
        <f t="shared" ref="BY133:BZ133" si="342">BY120/BY115</f>
        <v>0.41189609530112509</v>
      </c>
      <c r="BZ133" s="138">
        <f t="shared" si="342"/>
        <v>0.29428958437299496</v>
      </c>
      <c r="CA133" s="138">
        <f t="shared" ref="CA133:CB133" si="343">CA120/CA115</f>
        <v>0.4113033448673587</v>
      </c>
      <c r="CB133" s="138">
        <f t="shared" si="343"/>
        <v>0.36150627615062764</v>
      </c>
      <c r="CC133" s="138">
        <f t="shared" ref="CC133:CD133" si="344">CC120/CC115</f>
        <v>0.35916302598298461</v>
      </c>
      <c r="CD133" s="138">
        <f t="shared" si="344"/>
        <v>0.26950458715596332</v>
      </c>
      <c r="CE133" s="49"/>
      <c r="CF133" s="138">
        <f t="shared" ref="CF133:CJ133" si="345">CF120/CF115</f>
        <v>0.39838722183453518</v>
      </c>
      <c r="CG133" s="138">
        <f t="shared" si="345"/>
        <v>0.39038651378236766</v>
      </c>
      <c r="CH133" s="138">
        <f t="shared" si="345"/>
        <v>0.29343065693430659</v>
      </c>
      <c r="CI133" s="138">
        <f t="shared" si="345"/>
        <v>1</v>
      </c>
      <c r="CJ133" s="138">
        <f t="shared" si="345"/>
        <v>0.39300304538364406</v>
      </c>
      <c r="CK133" s="138">
        <f t="shared" ref="CK133:CL133" si="346">CK120/CK115</f>
        <v>0.38768143190193277</v>
      </c>
      <c r="CL133" s="138">
        <f t="shared" si="346"/>
        <v>0.32572081073365688</v>
      </c>
      <c r="CM133" s="138">
        <f t="shared" ref="CM133:CO133" si="347">CM120/CM115</f>
        <v>0.43284152587722652</v>
      </c>
      <c r="CN133" s="138">
        <f t="shared" si="347"/>
        <v>0.39481601481138623</v>
      </c>
      <c r="CO133" s="138">
        <f t="shared" si="347"/>
        <v>0.40111969720864216</v>
      </c>
      <c r="CP133" s="138">
        <f t="shared" ref="CP133" si="348">CP120/CP115</f>
        <v>0.27752473692476831</v>
      </c>
      <c r="CQ133" s="138">
        <f t="shared" ref="CQ133:CR133" si="349">CQ120/CQ115</f>
        <v>0.43305908750934929</v>
      </c>
      <c r="CR133" s="138">
        <f t="shared" si="349"/>
        <v>0.41189931350114417</v>
      </c>
      <c r="CS133" s="138">
        <f t="shared" ref="CS133:CT133" si="350">CS120/CS115</f>
        <v>0.32227303687846648</v>
      </c>
      <c r="CT133" s="138">
        <f t="shared" si="350"/>
        <v>0.18393670994926478</v>
      </c>
      <c r="CU133" s="138">
        <f>CU120/CU115</f>
        <v>0.39637355672517838</v>
      </c>
      <c r="CV133" s="138">
        <f t="shared" ref="CV133:CY133" si="351">CV120/CV115</f>
        <v>0.36695063230858777</v>
      </c>
      <c r="CW133" s="138">
        <f t="shared" si="351"/>
        <v>0.36494956622805197</v>
      </c>
      <c r="CX133" s="138">
        <f t="shared" si="351"/>
        <v>0.28033227051518711</v>
      </c>
      <c r="CY133" s="138">
        <f t="shared" si="351"/>
        <v>0.42524569976696514</v>
      </c>
      <c r="CZ133" s="138">
        <f t="shared" ref="CZ133:DA133" si="352">CZ120/CZ115</f>
        <v>0.48325331257118981</v>
      </c>
      <c r="DA133" s="138">
        <f t="shared" si="352"/>
        <v>0.47315386037015206</v>
      </c>
      <c r="DB133" s="138">
        <f t="shared" ref="DB133:DF133" si="353">DB120/DB115</f>
        <v>0.28191663931736133</v>
      </c>
      <c r="DC133" s="138">
        <f t="shared" si="353"/>
        <v>0.46283471074380167</v>
      </c>
      <c r="DD133" s="138">
        <f t="shared" si="353"/>
        <v>0.26905442550852116</v>
      </c>
      <c r="DE133" s="138">
        <f t="shared" si="353"/>
        <v>0.26903944981862149</v>
      </c>
      <c r="DF133" s="138">
        <f t="shared" si="353"/>
        <v>-1.803635342831076E-2</v>
      </c>
      <c r="DG133" s="138"/>
      <c r="DH133" s="138"/>
      <c r="DI133" s="138"/>
      <c r="DJ133" s="138"/>
      <c r="DK133" s="138"/>
      <c r="DL133" s="138"/>
      <c r="DM133" s="138"/>
      <c r="DN133" s="138"/>
      <c r="DO133" s="138"/>
      <c r="DP133" s="49"/>
      <c r="DQ133" s="49"/>
      <c r="DU133" s="49"/>
      <c r="DV133" s="49">
        <f t="shared" ref="DV133:ES133" si="354">DV120/DV115</f>
        <v>0.24382599974927918</v>
      </c>
      <c r="DW133" s="49">
        <f t="shared" si="354"/>
        <v>0.25546352659415228</v>
      </c>
      <c r="DX133" s="49">
        <f t="shared" si="354"/>
        <v>0.27242172297894923</v>
      </c>
      <c r="DY133" s="49">
        <f t="shared" si="354"/>
        <v>0.26759436980166346</v>
      </c>
      <c r="DZ133" s="49">
        <f t="shared" si="354"/>
        <v>0.26602185469580625</v>
      </c>
      <c r="EA133" s="49">
        <f t="shared" si="354"/>
        <v>0.25811183190541992</v>
      </c>
      <c r="EB133" s="49">
        <f t="shared" si="354"/>
        <v>0.29722053154798134</v>
      </c>
      <c r="EC133" s="49">
        <f t="shared" si="354"/>
        <v>0.30673485503703984</v>
      </c>
      <c r="ED133" s="49">
        <f t="shared" si="354"/>
        <v>0.10146490518558461</v>
      </c>
      <c r="EE133" s="49">
        <f t="shared" si="354"/>
        <v>3.3209843874040752E-2</v>
      </c>
      <c r="EF133" s="49">
        <f t="shared" si="354"/>
        <v>0.17166274354102265</v>
      </c>
      <c r="EG133" s="49">
        <f t="shared" si="354"/>
        <v>0.13291047164596001</v>
      </c>
      <c r="EH133" s="49">
        <f t="shared" si="354"/>
        <v>0.15409944023707606</v>
      </c>
      <c r="EI133" s="49">
        <f t="shared" si="354"/>
        <v>0.12460735800022828</v>
      </c>
      <c r="EJ133" s="49">
        <f t="shared" si="354"/>
        <v>0.79659660859299541</v>
      </c>
      <c r="EK133" s="49">
        <f t="shared" si="354"/>
        <v>0.58156189673454961</v>
      </c>
      <c r="EL133" s="49">
        <f t="shared" si="354"/>
        <v>0.64828549191960816</v>
      </c>
      <c r="EM133" s="49">
        <f t="shared" si="354"/>
        <v>0.66458433445458909</v>
      </c>
      <c r="EN133" s="49">
        <f t="shared" si="354"/>
        <v>0.71801536216209938</v>
      </c>
      <c r="EO133" s="49">
        <f t="shared" si="354"/>
        <v>0</v>
      </c>
      <c r="EP133" s="49">
        <f t="shared" si="354"/>
        <v>0</v>
      </c>
      <c r="EQ133" s="49">
        <f t="shared" si="354"/>
        <v>0</v>
      </c>
      <c r="ER133" s="49">
        <f t="shared" si="354"/>
        <v>0</v>
      </c>
      <c r="ES133" s="49">
        <f t="shared" si="354"/>
        <v>0</v>
      </c>
      <c r="ET133" s="49"/>
      <c r="EU133" s="49"/>
      <c r="EV133" s="49">
        <f t="shared" ref="EV133:EW133" si="355">+EV120/EV115</f>
        <v>0.33936770300406666</v>
      </c>
      <c r="EW133" s="49">
        <f t="shared" si="355"/>
        <v>0.3462262851972423</v>
      </c>
      <c r="EX133" s="49">
        <f t="shared" ref="EX133:EY133" si="356">+EX120/EX115</f>
        <v>0.41463755947383141</v>
      </c>
      <c r="EY133" s="49">
        <f t="shared" si="356"/>
        <v>0.23873100558167376</v>
      </c>
      <c r="EZ133" s="49">
        <f t="shared" ref="EZ133:FF133" si="357">+EZ120/EZ115</f>
        <v>0.3818533985947738</v>
      </c>
      <c r="FA133" s="49">
        <f t="shared" si="357"/>
        <v>0.54999999999999993</v>
      </c>
      <c r="FB133" s="49">
        <f t="shared" si="357"/>
        <v>0.50201799943955805</v>
      </c>
      <c r="FC133" s="49">
        <f t="shared" si="357"/>
        <v>0.5133790206332397</v>
      </c>
      <c r="FD133" s="49">
        <f t="shared" si="357"/>
        <v>0.52932121489012085</v>
      </c>
      <c r="FE133" s="49">
        <f t="shared" si="357"/>
        <v>0.49816250438103948</v>
      </c>
      <c r="FF133" s="49">
        <f t="shared" si="357"/>
        <v>0.51133207590266738</v>
      </c>
      <c r="FG133" s="49">
        <f t="shared" ref="FG133:FK133" si="358">+FG120/FG115</f>
        <v>0.49304584948360747</v>
      </c>
      <c r="FH133" s="49">
        <f t="shared" si="358"/>
        <v>0.50357497327454503</v>
      </c>
      <c r="FI133" s="49">
        <f t="shared" si="358"/>
        <v>0.51572388608769948</v>
      </c>
      <c r="FJ133" s="49">
        <f t="shared" si="358"/>
        <v>0.5289928988896021</v>
      </c>
      <c r="FK133" s="49">
        <f t="shared" si="358"/>
        <v>0.54307415525408587</v>
      </c>
      <c r="FL133" s="49"/>
      <c r="FM133" s="49"/>
      <c r="FN133" s="49"/>
      <c r="FO133" s="49"/>
      <c r="FP133" s="49"/>
      <c r="FQ133" s="91"/>
      <c r="FR133" s="49"/>
      <c r="FS133" s="92"/>
      <c r="FT133" s="49"/>
      <c r="FU133" s="14" t="s">
        <v>810</v>
      </c>
    </row>
    <row r="134" spans="2:179">
      <c r="B134" s="4" t="s">
        <v>811</v>
      </c>
      <c r="AE134" s="49" t="e">
        <f>AE125/AE124</f>
        <v>#DIV/0!</v>
      </c>
      <c r="AF134" s="49" t="e">
        <f>AF125/AF124</f>
        <v>#DIV/0!</v>
      </c>
      <c r="AG134" s="49" t="e">
        <f>AG125/AG124</f>
        <v>#DIV/0!</v>
      </c>
      <c r="AH134" s="49" t="e">
        <f>AH125/AH124</f>
        <v>#DIV/0!</v>
      </c>
      <c r="AK134" s="49">
        <f t="shared" ref="AK134:BR134" si="359">AK125/AK124</f>
        <v>0.11614061798520427</v>
      </c>
      <c r="AL134" s="49">
        <f t="shared" si="359"/>
        <v>0.11877261877261878</v>
      </c>
      <c r="AM134" s="49">
        <f t="shared" si="359"/>
        <v>3.910681234700579E-2</v>
      </c>
      <c r="AN134" s="49">
        <f t="shared" si="359"/>
        <v>0.22598974968431995</v>
      </c>
      <c r="AO134" s="49">
        <f t="shared" si="359"/>
        <v>0.12994309326180725</v>
      </c>
      <c r="AP134" s="49">
        <f t="shared" si="359"/>
        <v>0.217</v>
      </c>
      <c r="AQ134" s="49">
        <f t="shared" si="359"/>
        <v>0.2154146977350497</v>
      </c>
      <c r="AR134" s="49">
        <f t="shared" si="359"/>
        <v>0.31481942714819428</v>
      </c>
      <c r="AS134" s="49">
        <f t="shared" si="359"/>
        <v>0.21587114515812217</v>
      </c>
      <c r="AT134" s="49">
        <f t="shared" si="359"/>
        <v>0.18847457627118644</v>
      </c>
      <c r="AU134" s="49">
        <f t="shared" si="359"/>
        <v>0.19305912368860498</v>
      </c>
      <c r="AV134" s="49">
        <f t="shared" si="359"/>
        <v>0.17386744316252739</v>
      </c>
      <c r="AW134" s="49">
        <f t="shared" si="359"/>
        <v>0.22228371149234458</v>
      </c>
      <c r="AX134" s="49">
        <f t="shared" si="359"/>
        <v>0.23393227366966138</v>
      </c>
      <c r="AY134" s="49">
        <f t="shared" si="359"/>
        <v>0.2655526354087302</v>
      </c>
      <c r="AZ134" s="49">
        <f t="shared" si="359"/>
        <v>0.2391476896290306</v>
      </c>
      <c r="BA134" s="49">
        <f t="shared" si="359"/>
        <v>0.31658193195150569</v>
      </c>
      <c r="BB134" s="49">
        <f t="shared" si="359"/>
        <v>0.28029739776951673</v>
      </c>
      <c r="BC134" s="49">
        <f t="shared" si="359"/>
        <v>0.28646748681898065</v>
      </c>
      <c r="BD134" s="49">
        <f t="shared" si="359"/>
        <v>0.30316205533596841</v>
      </c>
      <c r="BE134" s="49">
        <f t="shared" si="359"/>
        <v>0.27636946386946387</v>
      </c>
      <c r="BF134" s="49">
        <f t="shared" si="359"/>
        <v>0.22608695652173913</v>
      </c>
      <c r="BG134" s="49">
        <f t="shared" si="359"/>
        <v>0.2771137671536078</v>
      </c>
      <c r="BH134" s="49">
        <f t="shared" si="359"/>
        <v>0.2603051391862955</v>
      </c>
      <c r="BI134" s="49">
        <f t="shared" si="359"/>
        <v>0.30521407376006782</v>
      </c>
      <c r="BJ134" s="106">
        <f>BJ125/BJ124</f>
        <v>0.29937555753791256</v>
      </c>
      <c r="BK134" s="49">
        <f>BK125/BK124</f>
        <v>0.2860958366064415</v>
      </c>
      <c r="BL134" s="49">
        <f>BL125/BL124</f>
        <v>0.28629456897848654</v>
      </c>
      <c r="BM134" s="49">
        <f>BM125/BM124</f>
        <v>0.28124438050710304</v>
      </c>
      <c r="BN134" s="49">
        <f t="shared" ref="BN134:BP134" si="360">BN125/BN124</f>
        <v>0.29792452830188682</v>
      </c>
      <c r="BO134" s="49">
        <f t="shared" si="360"/>
        <v>0.27250744047619047</v>
      </c>
      <c r="BP134" s="49">
        <f t="shared" si="360"/>
        <v>0.28081207330219188</v>
      </c>
      <c r="BQ134" s="49">
        <f t="shared" si="359"/>
        <v>0.27750929368029742</v>
      </c>
      <c r="BR134" s="49">
        <f t="shared" si="359"/>
        <v>0.26904109589041098</v>
      </c>
      <c r="BS134" s="138">
        <f t="shared" ref="BS134:BW134" si="361">BS125/BS124</f>
        <v>0.25605175292153587</v>
      </c>
      <c r="BT134" s="49">
        <f t="shared" si="361"/>
        <v>0.26945668135095446</v>
      </c>
      <c r="BU134" s="49">
        <f t="shared" si="361"/>
        <v>0.27</v>
      </c>
      <c r="BV134" s="49">
        <f t="shared" si="361"/>
        <v>0.27</v>
      </c>
      <c r="BW134" s="138">
        <f t="shared" si="361"/>
        <v>0.23901541292845641</v>
      </c>
      <c r="BX134" s="49">
        <f t="shared" ref="BX134" si="362">BX125/BX124</f>
        <v>0.25363221253632212</v>
      </c>
      <c r="BY134" s="138">
        <f t="shared" ref="BY134:BZ134" si="363">BY125/BY124</f>
        <v>0.25606628526336556</v>
      </c>
      <c r="BZ134" s="138">
        <f t="shared" si="363"/>
        <v>0.19554155560940151</v>
      </c>
      <c r="CA134" s="138">
        <f t="shared" ref="CA134:CB134" si="364">CA125/CA124</f>
        <v>0.23717715532921063</v>
      </c>
      <c r="CB134" s="138">
        <f t="shared" si="364"/>
        <v>6.4432989690721643E-2</v>
      </c>
      <c r="CC134" s="138">
        <f t="shared" ref="CC134:CD134" si="365">CC125/CC124</f>
        <v>0.21796456530696334</v>
      </c>
      <c r="CD134" s="138">
        <f t="shared" si="365"/>
        <v>0.23923196678775299</v>
      </c>
      <c r="CE134" s="49"/>
      <c r="CF134" s="138">
        <f t="shared" ref="CF134:CJ134" si="366">CF125/CF124</f>
        <v>0.22700771111529058</v>
      </c>
      <c r="CG134" s="138">
        <f t="shared" si="366"/>
        <v>0.23454276194002222</v>
      </c>
      <c r="CH134" s="138">
        <f t="shared" si="366"/>
        <v>8.4761904761904761E-2</v>
      </c>
      <c r="CI134" s="138">
        <f t="shared" si="366"/>
        <v>0</v>
      </c>
      <c r="CJ134" s="138">
        <f t="shared" si="366"/>
        <v>0.15628227194492256</v>
      </c>
      <c r="CK134" s="138">
        <f t="shared" ref="CK134:CL134" si="367">CK125/CK124</f>
        <v>0.13402829486224871</v>
      </c>
      <c r="CL134" s="138">
        <f t="shared" si="367"/>
        <v>0.15014288854693339</v>
      </c>
      <c r="CM134" s="138">
        <f t="shared" ref="CM134:CO134" si="368">CM125/CM124</f>
        <v>0.15197515956529239</v>
      </c>
      <c r="CN134" s="138">
        <f t="shared" si="368"/>
        <v>0.17880413951705634</v>
      </c>
      <c r="CO134" s="138">
        <f t="shared" si="368"/>
        <v>0.15173095944609297</v>
      </c>
      <c r="CP134" s="138">
        <f t="shared" ref="CP134" si="369">CP125/CP124</f>
        <v>0.11236573946571192</v>
      </c>
      <c r="CQ134" s="138">
        <f t="shared" ref="CQ134:CR134" si="370">CQ125/CQ124</f>
        <v>0.14971280340930146</v>
      </c>
      <c r="CR134" s="138">
        <f t="shared" si="370"/>
        <v>0.14345910745067994</v>
      </c>
      <c r="CS134" s="138">
        <f t="shared" ref="CS134:CT134" si="371">CS125/CS124</f>
        <v>6.6859344894026979E-2</v>
      </c>
      <c r="CT134" s="138">
        <f t="shared" si="371"/>
        <v>-3.9273441335297005E-2</v>
      </c>
      <c r="CU134" s="138">
        <f>CU125/CU124</f>
        <v>0.17699271518494947</v>
      </c>
      <c r="CV134" s="138">
        <f t="shared" ref="CV134:CY134" si="372">CV125/CV124</f>
        <v>0.18399198167239406</v>
      </c>
      <c r="CW134" s="138">
        <f t="shared" si="372"/>
        <v>0.18287566742944317</v>
      </c>
      <c r="CX134" s="138">
        <f t="shared" si="372"/>
        <v>0.10850202429149798</v>
      </c>
      <c r="CY134" s="138">
        <f t="shared" si="372"/>
        <v>0.18017771452551684</v>
      </c>
      <c r="CZ134" s="138">
        <f t="shared" ref="CZ134:DA134" si="373">CZ125/CZ124</f>
        <v>0.15692312247405577</v>
      </c>
      <c r="DA134" s="138">
        <f t="shared" si="373"/>
        <v>4.1268038126342312E-2</v>
      </c>
      <c r="DB134" s="138">
        <f t="shared" ref="DB134:DF134" si="374">DB125/DB124</f>
        <v>0.10786397449521785</v>
      </c>
      <c r="DC134" s="138">
        <f t="shared" si="374"/>
        <v>0.15</v>
      </c>
      <c r="DD134" s="138">
        <f t="shared" si="374"/>
        <v>0.15</v>
      </c>
      <c r="DE134" s="138">
        <f t="shared" si="374"/>
        <v>0.15</v>
      </c>
      <c r="DF134" s="138">
        <f t="shared" si="374"/>
        <v>0.15</v>
      </c>
      <c r="DG134" s="138"/>
      <c r="DH134" s="138"/>
      <c r="DI134" s="138"/>
      <c r="DJ134" s="138"/>
      <c r="DK134" s="138"/>
      <c r="DL134" s="138"/>
      <c r="DM134" s="138"/>
      <c r="DN134" s="138"/>
      <c r="DO134" s="138"/>
      <c r="DP134" s="49"/>
      <c r="DQ134" s="49"/>
      <c r="DU134" s="49"/>
      <c r="DV134" s="49">
        <f t="shared" ref="DV134:EH134" si="375">DV125/DV124</f>
        <v>0.30636160714285715</v>
      </c>
      <c r="DW134" s="49">
        <f t="shared" si="375"/>
        <v>0.30865746549560852</v>
      </c>
      <c r="DX134" s="49">
        <f t="shared" si="375"/>
        <v>0.29387893134934057</v>
      </c>
      <c r="DY134" s="49">
        <f t="shared" si="375"/>
        <v>0.26913503422526447</v>
      </c>
      <c r="DZ134" s="49">
        <f t="shared" si="375"/>
        <v>0.14892136395267919</v>
      </c>
      <c r="EA134" s="49">
        <f t="shared" si="375"/>
        <v>0.31065049629164249</v>
      </c>
      <c r="EB134" s="49">
        <f t="shared" si="375"/>
        <v>0.26579322869373462</v>
      </c>
      <c r="EC134" s="49">
        <f t="shared" si="375"/>
        <v>0.33805752396832012</v>
      </c>
      <c r="ED134" s="40">
        <f t="shared" si="375"/>
        <v>1.8442569759896172</v>
      </c>
      <c r="EE134" s="49">
        <f t="shared" si="375"/>
        <v>-27.31782945736434</v>
      </c>
      <c r="EF134" s="49">
        <f t="shared" si="375"/>
        <v>0.85390907361613089</v>
      </c>
      <c r="EG134" s="49">
        <f t="shared" si="375"/>
        <v>1.2205270457697641</v>
      </c>
      <c r="EH134" s="49">
        <f t="shared" si="375"/>
        <v>0.64861963190184047</v>
      </c>
      <c r="EI134" s="49">
        <v>0.21</v>
      </c>
      <c r="EJ134" s="49">
        <v>0.22500000000000001</v>
      </c>
      <c r="EK134" s="49">
        <f>EK125/EK124</f>
        <v>0.2747543696396883</v>
      </c>
      <c r="EL134" s="49">
        <f>EL125/EL124</f>
        <v>0.27576129311588976</v>
      </c>
      <c r="EM134" s="49">
        <v>0.28999999999999998</v>
      </c>
      <c r="EN134" s="49">
        <v>0.28999999999999998</v>
      </c>
      <c r="EO134" s="49">
        <v>0.27500000000000002</v>
      </c>
      <c r="EP134" s="49">
        <v>0.27500000000000002</v>
      </c>
      <c r="EQ134" s="49">
        <v>0.27</v>
      </c>
      <c r="ER134" s="49">
        <v>0.27</v>
      </c>
      <c r="ES134" s="49">
        <v>0.27</v>
      </c>
      <c r="ET134" s="49"/>
      <c r="EU134" s="49"/>
      <c r="EV134" s="49">
        <f t="shared" ref="EV134" si="376">+EV125/EV124</f>
        <v>0.1022135051835248</v>
      </c>
      <c r="EW134" s="49">
        <f>+EW125/EW124</f>
        <v>0.16399455097977572</v>
      </c>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4" t="s">
        <v>812</v>
      </c>
    </row>
    <row r="135" spans="2:179">
      <c r="B135" s="4" t="s">
        <v>813</v>
      </c>
      <c r="AE135" s="49" t="e">
        <f>AE126/#REF!</f>
        <v>#REF!</v>
      </c>
      <c r="AF135" s="49" t="e">
        <f>AF126/#REF!</f>
        <v>#REF!</v>
      </c>
      <c r="AG135" s="49" t="e">
        <f>AG126/#REF!</f>
        <v>#REF!</v>
      </c>
      <c r="AH135" s="49" t="e">
        <f>AH126/#REF!</f>
        <v>#REF!</v>
      </c>
      <c r="AK135" s="49">
        <f t="shared" ref="AK135:BW135" si="377">AK126/AK115</f>
        <v>0.35988428004864054</v>
      </c>
      <c r="AL135" s="49">
        <f t="shared" si="377"/>
        <v>0.32715396489623233</v>
      </c>
      <c r="AM135" s="49">
        <f t="shared" si="377"/>
        <v>0.4917351584221944</v>
      </c>
      <c r="AN135" s="49">
        <f t="shared" si="377"/>
        <v>0.34000587314017233</v>
      </c>
      <c r="AO135" s="49">
        <f t="shared" si="377"/>
        <v>0.37536161628797943</v>
      </c>
      <c r="AP135" s="49">
        <f t="shared" si="377"/>
        <v>0.23706831136920345</v>
      </c>
      <c r="AQ135" s="49">
        <f t="shared" si="377"/>
        <v>0.38600288600288601</v>
      </c>
      <c r="AR135" s="49">
        <f t="shared" si="377"/>
        <v>0.24819559725730783</v>
      </c>
      <c r="AS135" s="49">
        <f t="shared" si="377"/>
        <v>0.33405857740585776</v>
      </c>
      <c r="AT135" s="49">
        <f t="shared" si="377"/>
        <v>0.2764434180138568</v>
      </c>
      <c r="AU135" s="49">
        <f t="shared" si="377"/>
        <v>0.38648849289978415</v>
      </c>
      <c r="AV135" s="49">
        <f t="shared" si="377"/>
        <v>0.34652780029914648</v>
      </c>
      <c r="AW135" s="49">
        <f t="shared" si="377"/>
        <v>0.34673904103955916</v>
      </c>
      <c r="AX135" s="49">
        <f t="shared" si="377"/>
        <v>0.36016570546665583</v>
      </c>
      <c r="AY135" s="49">
        <f t="shared" si="377"/>
        <v>0.36980857181035631</v>
      </c>
      <c r="AZ135" s="49">
        <f t="shared" si="377"/>
        <v>0.34551046991752493</v>
      </c>
      <c r="BA135" s="49">
        <f t="shared" si="377"/>
        <v>0.30121520296475052</v>
      </c>
      <c r="BB135" s="49">
        <f t="shared" si="377"/>
        <v>0.23438256658595641</v>
      </c>
      <c r="BC135" s="49">
        <f t="shared" si="377"/>
        <v>0.30842049903582069</v>
      </c>
      <c r="BD135" s="49">
        <f t="shared" si="377"/>
        <v>0.30039188958936786</v>
      </c>
      <c r="BE135" s="49">
        <f t="shared" si="377"/>
        <v>0.296909558252137</v>
      </c>
      <c r="BF135" s="49">
        <f t="shared" si="377"/>
        <v>0.24816839803171131</v>
      </c>
      <c r="BG135" s="49">
        <f t="shared" si="377"/>
        <v>0.29574403863567761</v>
      </c>
      <c r="BH135" s="49">
        <f t="shared" si="377"/>
        <v>0.31136274012731679</v>
      </c>
      <c r="BI135" s="49">
        <f t="shared" si="377"/>
        <v>0.28517573367358773</v>
      </c>
      <c r="BJ135" s="106">
        <f t="shared" si="377"/>
        <v>0.23450376209243998</v>
      </c>
      <c r="BK135" s="49">
        <f t="shared" si="377"/>
        <v>0.29451033767580531</v>
      </c>
      <c r="BL135" s="49">
        <f t="shared" si="377"/>
        <v>0.31506940293551172</v>
      </c>
      <c r="BM135" s="49">
        <f t="shared" si="377"/>
        <v>0.28599026903262736</v>
      </c>
      <c r="BN135" s="49">
        <f t="shared" si="377"/>
        <v>0.24408002623811087</v>
      </c>
      <c r="BO135" s="49">
        <f t="shared" si="377"/>
        <v>0.28970370370370369</v>
      </c>
      <c r="BP135" s="49">
        <f t="shared" si="377"/>
        <v>0.30856394049179064</v>
      </c>
      <c r="BQ135" s="49">
        <f t="shared" si="377"/>
        <v>0.30908078880407125</v>
      </c>
      <c r="BR135" s="49">
        <f t="shared" si="377"/>
        <v>0.28939185769036085</v>
      </c>
      <c r="BS135" s="138">
        <f t="shared" si="377"/>
        <v>0.31296637696427004</v>
      </c>
      <c r="BT135" s="49">
        <f t="shared" si="377"/>
        <v>0.3091742406587431</v>
      </c>
      <c r="BU135" s="49">
        <f t="shared" si="377"/>
        <v>0.31088120300751881</v>
      </c>
      <c r="BV135" s="49">
        <f t="shared" si="377"/>
        <v>0.2708631130554916</v>
      </c>
      <c r="BW135" s="138">
        <f t="shared" si="377"/>
        <v>0.30232133065253153</v>
      </c>
      <c r="BX135" s="49">
        <f t="shared" ref="BX135" si="378">BX126/BX115</f>
        <v>0.30238816010763536</v>
      </c>
      <c r="BY135" s="138">
        <f t="shared" ref="BY135:BZ135" si="379">BY126/BY115</f>
        <v>0.31196227663798809</v>
      </c>
      <c r="BZ135" s="138">
        <f t="shared" si="379"/>
        <v>0.23668639053254437</v>
      </c>
      <c r="CA135" s="138">
        <f t="shared" ref="CA135:CB135" si="380">CA126/CA115</f>
        <v>0.32249134948096886</v>
      </c>
      <c r="CB135" s="138">
        <f t="shared" si="380"/>
        <v>0.41422594142259417</v>
      </c>
      <c r="CC135" s="138">
        <f t="shared" ref="CC135:CD135" si="381">CC126/CC115</f>
        <v>0.29094811067678394</v>
      </c>
      <c r="CD135" s="138">
        <f t="shared" si="381"/>
        <v>0.21519266055045871</v>
      </c>
      <c r="CE135" s="49"/>
      <c r="CF135" s="138">
        <f t="shared" ref="CF135:CJ135" si="382">CF126/CF115</f>
        <v>0.31867876250290766</v>
      </c>
      <c r="CG135" s="138">
        <f t="shared" si="382"/>
        <v>0.31399498822993394</v>
      </c>
      <c r="CH135" s="138">
        <f t="shared" si="382"/>
        <v>0.28058394160583944</v>
      </c>
      <c r="CI135" s="138">
        <f t="shared" si="382"/>
        <v>1</v>
      </c>
      <c r="CJ135" s="138">
        <f t="shared" si="382"/>
        <v>0.36410903958998736</v>
      </c>
      <c r="CK135" s="138">
        <f t="shared" ref="CK135:CL135" si="383">CK126/CK115</f>
        <v>0.34985335037978493</v>
      </c>
      <c r="CL135" s="138">
        <f t="shared" si="383"/>
        <v>0.275906365972024</v>
      </c>
      <c r="CM135" s="138">
        <f t="shared" ref="CM135:CO135" si="384">CM126/CM115</f>
        <v>0.37581224677012459</v>
      </c>
      <c r="CN135" s="138">
        <f t="shared" si="384"/>
        <v>0.3305561984108617</v>
      </c>
      <c r="CO135" s="138">
        <f t="shared" si="384"/>
        <v>0.33811701624349472</v>
      </c>
      <c r="CP135" s="138">
        <f t="shared" ref="CP135" si="385">CP126/CP115</f>
        <v>0.25310193183602953</v>
      </c>
      <c r="CQ135" s="138">
        <f t="shared" ref="CQ135:CR135" si="386">CQ126/CQ115</f>
        <v>0.38136790492811434</v>
      </c>
      <c r="CR135" s="138">
        <f t="shared" si="386"/>
        <v>0.3790151707771845</v>
      </c>
      <c r="CS135" s="138">
        <f t="shared" ref="CS135:CT135" si="387">CS126/CS115</f>
        <v>0.47124647270604264</v>
      </c>
      <c r="CT135" s="138">
        <f t="shared" si="387"/>
        <v>0.18204488778054864</v>
      </c>
      <c r="CU135" s="138">
        <f>CU126/CU115</f>
        <v>0.3206619085673344</v>
      </c>
      <c r="CV135" s="138">
        <f t="shared" ref="CV135:CY135" si="388">CV126/CV115</f>
        <v>0.30155034657918406</v>
      </c>
      <c r="CW135" s="138">
        <f t="shared" si="388"/>
        <v>0.35573450666223899</v>
      </c>
      <c r="CX135" s="138">
        <f t="shared" si="388"/>
        <v>0.27714381607652289</v>
      </c>
      <c r="CY135" s="138">
        <f t="shared" si="388"/>
        <v>0.35019133796285468</v>
      </c>
      <c r="CZ135" s="138">
        <f t="shared" ref="CZ135:DA135" si="389">CZ126/CZ115</f>
        <v>0.41054976426316037</v>
      </c>
      <c r="DA135" s="138">
        <f t="shared" si="389"/>
        <v>0.47535400293939056</v>
      </c>
      <c r="DB135" s="138">
        <f t="shared" ref="DB135:DF135" si="390">DB126/DB115</f>
        <v>0.2755169018706925</v>
      </c>
      <c r="DC135" s="138">
        <f t="shared" si="390"/>
        <v>0.40980068870523417</v>
      </c>
      <c r="DD135" s="138">
        <f t="shared" si="390"/>
        <v>0.25206074766355135</v>
      </c>
      <c r="DE135" s="138">
        <f t="shared" si="390"/>
        <v>0.25116690598548969</v>
      </c>
      <c r="DF135" s="138">
        <f t="shared" si="390"/>
        <v>1.4137834233981331E-2</v>
      </c>
      <c r="DG135" s="138"/>
      <c r="DH135" s="138"/>
      <c r="DI135" s="138"/>
      <c r="DJ135" s="138"/>
      <c r="DK135" s="138"/>
      <c r="DL135" s="138"/>
      <c r="DM135" s="138"/>
      <c r="DN135" s="138"/>
      <c r="DO135" s="138"/>
      <c r="DP135" s="49"/>
      <c r="DQ135" s="49"/>
      <c r="DU135" s="49"/>
      <c r="DV135" s="49">
        <f t="shared" ref="DV135:ES135" si="391">DV126/DV115</f>
        <v>0.15582299109941081</v>
      </c>
      <c r="DW135" s="49">
        <f t="shared" si="391"/>
        <v>0.16495359744536472</v>
      </c>
      <c r="DX135" s="49">
        <f t="shared" si="391"/>
        <v>0.18468070051300195</v>
      </c>
      <c r="DY135" s="49">
        <f t="shared" si="391"/>
        <v>0.1878598848368522</v>
      </c>
      <c r="DZ135" s="49">
        <f t="shared" si="391"/>
        <v>0.27089486119314826</v>
      </c>
      <c r="EA135" s="49">
        <f t="shared" si="391"/>
        <v>0.15952216348162515</v>
      </c>
      <c r="EB135" s="49">
        <f t="shared" si="391"/>
        <v>0.1913843240684385</v>
      </c>
      <c r="EC135" s="49">
        <f t="shared" si="391"/>
        <v>0.17914488775241605</v>
      </c>
      <c r="ED135" s="49">
        <f t="shared" si="391"/>
        <v>-5.8461400197717263E-2</v>
      </c>
      <c r="EE135" s="49">
        <f t="shared" si="391"/>
        <v>-0.12083223074887536</v>
      </c>
      <c r="EF135" s="49">
        <f t="shared" si="391"/>
        <v>2.1780437310342873E-2</v>
      </c>
      <c r="EG135" s="49">
        <f t="shared" si="391"/>
        <v>-2.3131310192324478E-2</v>
      </c>
      <c r="EH135" s="49">
        <f t="shared" si="391"/>
        <v>6.2863571506969598E-2</v>
      </c>
      <c r="EI135" s="49">
        <f t="shared" si="391"/>
        <v>0.13474220467519307</v>
      </c>
      <c r="EJ135" s="49">
        <f t="shared" si="391"/>
        <v>0.6799722748899939</v>
      </c>
      <c r="EK135" s="49">
        <f t="shared" si="391"/>
        <v>0.42731626743522116</v>
      </c>
      <c r="EL135" s="49">
        <f t="shared" si="391"/>
        <v>0.45948358741931056</v>
      </c>
      <c r="EM135" s="49">
        <f t="shared" si="391"/>
        <v>0.46153411821239787</v>
      </c>
      <c r="EN135" s="49">
        <f t="shared" si="391"/>
        <v>0.49278205150568966</v>
      </c>
      <c r="EO135" s="49">
        <f t="shared" si="391"/>
        <v>0</v>
      </c>
      <c r="EP135" s="49">
        <f t="shared" si="391"/>
        <v>0</v>
      </c>
      <c r="EQ135" s="49">
        <f t="shared" si="391"/>
        <v>0</v>
      </c>
      <c r="ER135" s="49">
        <f t="shared" si="391"/>
        <v>0</v>
      </c>
      <c r="ES135" s="49">
        <f t="shared" si="391"/>
        <v>0</v>
      </c>
      <c r="ET135" s="49"/>
      <c r="EU135" s="49"/>
      <c r="EV135" s="49"/>
      <c r="EW135" s="49"/>
      <c r="EX135" s="49"/>
      <c r="EY135" s="49"/>
      <c r="EZ135" s="49"/>
      <c r="FA135" s="49"/>
      <c r="FB135" s="49"/>
      <c r="FC135" s="49"/>
      <c r="FD135" s="49"/>
      <c r="FE135" s="49"/>
      <c r="FF135" s="49"/>
      <c r="FG135" s="49"/>
      <c r="FH135" s="49"/>
      <c r="FI135" s="49"/>
      <c r="FJ135" s="49"/>
      <c r="FK135" s="49"/>
      <c r="FL135" s="49"/>
      <c r="FM135" s="49"/>
      <c r="FN135" s="49"/>
      <c r="FO135" s="49"/>
      <c r="FP135" s="49"/>
      <c r="FQ135" s="91"/>
      <c r="FR135" s="49"/>
      <c r="FS135" s="92"/>
      <c r="FT135" s="49"/>
      <c r="FU135" s="14" t="s">
        <v>814</v>
      </c>
    </row>
    <row r="136" spans="2:179">
      <c r="B136" s="14" t="s">
        <v>1587</v>
      </c>
      <c r="AE136" s="49"/>
      <c r="AF136" s="49"/>
      <c r="AG136" s="49"/>
      <c r="AH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106"/>
      <c r="BK136" s="49"/>
      <c r="BL136" s="49"/>
      <c r="BM136" s="49"/>
      <c r="BN136" s="49"/>
      <c r="BO136" s="49"/>
      <c r="BP136" s="49"/>
      <c r="BQ136" s="49"/>
      <c r="BR136" s="49"/>
      <c r="BS136" s="138"/>
      <c r="BT136" s="49"/>
      <c r="BU136" s="49"/>
      <c r="BV136" s="49"/>
      <c r="BW136" s="138"/>
      <c r="BX136" s="49"/>
      <c r="BY136" s="138"/>
      <c r="BZ136" s="49"/>
      <c r="CA136" s="49"/>
      <c r="CB136" s="49"/>
      <c r="CC136" s="49"/>
      <c r="CD136" s="49"/>
      <c r="CE136" s="49"/>
      <c r="CF136" s="49"/>
      <c r="CG136" s="49"/>
      <c r="CH136" s="49"/>
      <c r="CI136" s="49"/>
      <c r="CJ136" s="49"/>
      <c r="CK136" s="138"/>
      <c r="CL136" s="138"/>
      <c r="CM136" s="138"/>
      <c r="CN136" s="138"/>
      <c r="CO136" s="138"/>
      <c r="CP136" s="138"/>
      <c r="CQ136" s="138"/>
      <c r="CR136" s="138"/>
      <c r="CS136" s="138"/>
      <c r="CT136" s="138"/>
      <c r="CU136" s="138"/>
      <c r="CV136" s="138"/>
      <c r="CW136" s="138"/>
      <c r="CX136" s="138"/>
      <c r="CY136" s="138"/>
      <c r="CZ136" s="138"/>
      <c r="DA136" s="138"/>
      <c r="DB136" s="138"/>
      <c r="DC136" s="138"/>
      <c r="DD136" s="138"/>
      <c r="DE136" s="138"/>
      <c r="DF136" s="138"/>
      <c r="DG136" s="138"/>
      <c r="DH136" s="138"/>
      <c r="DI136" s="138"/>
      <c r="DJ136" s="138"/>
      <c r="DK136" s="138"/>
      <c r="DL136" s="138"/>
      <c r="DM136" s="138"/>
      <c r="DN136" s="138"/>
      <c r="DO136" s="138"/>
      <c r="DP136" s="49"/>
      <c r="DQ136" s="49"/>
      <c r="DU136" s="49"/>
      <c r="DV136" s="49"/>
      <c r="DW136" s="49"/>
      <c r="DX136" s="49"/>
      <c r="DY136" s="49"/>
      <c r="DZ136" s="49"/>
      <c r="EA136" s="49"/>
      <c r="EB136" s="49"/>
      <c r="EC136" s="49"/>
      <c r="ED136" s="49"/>
      <c r="EE136" s="49"/>
      <c r="EF136" s="49"/>
      <c r="EG136" s="49"/>
      <c r="EH136" s="49"/>
      <c r="EI136" s="49"/>
      <c r="EJ136" s="49"/>
      <c r="EK136" s="49"/>
      <c r="EL136" s="49"/>
      <c r="EM136" s="49"/>
      <c r="EN136" s="49"/>
      <c r="EO136" s="49"/>
      <c r="EP136" s="49"/>
      <c r="EQ136" s="49"/>
      <c r="ER136" s="49"/>
      <c r="ES136" s="49"/>
      <c r="ET136" s="49"/>
      <c r="EU136" s="49"/>
      <c r="EV136" s="49">
        <f t="shared" ref="EV136:FK136" si="392">(EV3+EV6)/EV115</f>
        <v>3.3670033670033669E-3</v>
      </c>
      <c r="EW136" s="49">
        <f t="shared" si="392"/>
        <v>0.45311378187790746</v>
      </c>
      <c r="EX136" s="49">
        <f t="shared" si="392"/>
        <v>0.56714045819839276</v>
      </c>
      <c r="EY136" s="49">
        <f t="shared" si="392"/>
        <v>0.22006233162537636</v>
      </c>
      <c r="EZ136" s="49">
        <f t="shared" si="392"/>
        <v>0.17478487408226098</v>
      </c>
      <c r="FA136" s="49">
        <f t="shared" si="392"/>
        <v>9.2006183613424442E-2</v>
      </c>
      <c r="FB136" s="49">
        <f t="shared" si="392"/>
        <v>5.0701949947529655E-2</v>
      </c>
      <c r="FC136" s="49">
        <f t="shared" si="392"/>
        <v>2.8013154457457654E-2</v>
      </c>
      <c r="FD136" s="49">
        <f t="shared" si="392"/>
        <v>1.5187885112946137E-2</v>
      </c>
      <c r="FE136" s="49">
        <f t="shared" si="392"/>
        <v>9.880655529288903E-3</v>
      </c>
      <c r="FF136" s="49">
        <f t="shared" si="392"/>
        <v>5.4275204050176573E-3</v>
      </c>
      <c r="FG136" s="49">
        <f t="shared" si="392"/>
        <v>9.5343850764841032E-4</v>
      </c>
      <c r="FH136" s="49">
        <f t="shared" si="392"/>
        <v>1.6880084386786194E-4</v>
      </c>
      <c r="FI136" s="49">
        <f t="shared" si="392"/>
        <v>3.2136506532893502E-5</v>
      </c>
      <c r="FJ136" s="49">
        <f t="shared" si="392"/>
        <v>6.3958799095700395E-6</v>
      </c>
      <c r="FK136" s="49">
        <f t="shared" si="392"/>
        <v>1.3025730119185563E-6</v>
      </c>
      <c r="FL136" s="49"/>
      <c r="FM136" s="49"/>
      <c r="FN136" s="49"/>
      <c r="FO136" s="49"/>
      <c r="FP136" s="49"/>
      <c r="FQ136" s="91"/>
      <c r="FR136" s="49"/>
      <c r="FS136" s="92"/>
      <c r="FT136" s="49"/>
      <c r="FU136" s="14"/>
    </row>
    <row r="137" spans="2:179">
      <c r="AP137" s="62"/>
      <c r="FU137" s="14" t="s">
        <v>815</v>
      </c>
    </row>
    <row r="138" spans="2:179">
      <c r="B138" s="14" t="s">
        <v>816</v>
      </c>
      <c r="AP138" s="62"/>
      <c r="BA138" s="40">
        <v>-0.05</v>
      </c>
      <c r="BB138" s="40">
        <v>0.04</v>
      </c>
      <c r="BC138" s="40">
        <v>7.0000000000000007E-2</v>
      </c>
      <c r="EK138" s="40">
        <v>-0.04</v>
      </c>
      <c r="FU138" s="4" t="s">
        <v>817</v>
      </c>
    </row>
    <row r="139" spans="2:179" s="5" customFormat="1">
      <c r="B139" s="5" t="s">
        <v>818</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f t="shared" ref="AL139:BY139" si="393">AL115/AH115-1</f>
        <v>3.5866837425878817E-2</v>
      </c>
      <c r="AM139" s="50">
        <f t="shared" si="393"/>
        <v>4.8913957904351379E-2</v>
      </c>
      <c r="AN139" s="50">
        <f t="shared" si="393"/>
        <v>0.32599266654408199</v>
      </c>
      <c r="AO139" s="50">
        <f t="shared" si="393"/>
        <v>1.6507578226210073E-2</v>
      </c>
      <c r="AP139" s="50">
        <f t="shared" si="393"/>
        <v>-6.3468355154079115E-2</v>
      </c>
      <c r="AQ139" s="50">
        <f t="shared" si="393"/>
        <v>-4.7175287970912638E-2</v>
      </c>
      <c r="AR139" s="50">
        <f t="shared" si="393"/>
        <v>-9.5862699034194754E-2</v>
      </c>
      <c r="AS139" s="50">
        <f t="shared" si="393"/>
        <v>-6.5661699166523313E-2</v>
      </c>
      <c r="AT139" s="50">
        <f t="shared" si="393"/>
        <v>-8.7525849504377362E-3</v>
      </c>
      <c r="AU139" s="50">
        <f t="shared" si="393"/>
        <v>2.2288760622093395E-3</v>
      </c>
      <c r="AV139" s="50">
        <f t="shared" si="393"/>
        <v>0.15171905449296297</v>
      </c>
      <c r="AW139" s="50">
        <f t="shared" si="393"/>
        <v>1.7489539748954064E-2</v>
      </c>
      <c r="AX139" s="50">
        <f t="shared" si="393"/>
        <v>-5.2270977675134667E-2</v>
      </c>
      <c r="AY139" s="50">
        <f t="shared" si="393"/>
        <v>-7.2161831377442143E-2</v>
      </c>
      <c r="AZ139" s="50">
        <f t="shared" si="393"/>
        <v>-7.9591613559320984E-2</v>
      </c>
      <c r="BA139" s="50">
        <f t="shared" si="393"/>
        <v>-4.572744469117529E-2</v>
      </c>
      <c r="BB139" s="50">
        <f t="shared" si="393"/>
        <v>0.34188936723255625</v>
      </c>
      <c r="BC139" s="50">
        <f t="shared" si="393"/>
        <v>0.475303134146289</v>
      </c>
      <c r="BD139" s="50">
        <f t="shared" si="393"/>
        <v>0.49851718545671497</v>
      </c>
      <c r="BE139" s="50">
        <f t="shared" si="393"/>
        <v>0.44178229768163413</v>
      </c>
      <c r="BF139" s="50">
        <f t="shared" si="393"/>
        <v>0.10714285714285721</v>
      </c>
      <c r="BG139" s="50">
        <f t="shared" si="393"/>
        <v>-3.2022439081400123E-2</v>
      </c>
      <c r="BH139" s="50">
        <f t="shared" si="393"/>
        <v>8.1785653433292804E-3</v>
      </c>
      <c r="BI139" s="50">
        <f t="shared" si="393"/>
        <v>3.0665311734114464E-2</v>
      </c>
      <c r="BJ139" s="107">
        <f t="shared" si="393"/>
        <v>-8.4417714598141069E-2</v>
      </c>
      <c r="BK139" s="107">
        <f t="shared" si="393"/>
        <v>-6.8578327799577399E-2</v>
      </c>
      <c r="BL139" s="107">
        <f t="shared" si="393"/>
        <v>-0.15176609768463745</v>
      </c>
      <c r="BM139" s="107">
        <f t="shared" si="393"/>
        <v>-0.18942118083748982</v>
      </c>
      <c r="BN139" s="107">
        <f t="shared" si="393"/>
        <v>-8.9633345276483922E-2</v>
      </c>
      <c r="BO139" s="107">
        <f t="shared" si="393"/>
        <v>-0.12502430488041993</v>
      </c>
      <c r="BP139" s="107">
        <f t="shared" si="393"/>
        <v>-0.13840738526930996</v>
      </c>
      <c r="BQ139" s="107">
        <f t="shared" si="393"/>
        <v>-0.10017172295363486</v>
      </c>
      <c r="BR139" s="107">
        <f t="shared" si="393"/>
        <v>-9.2882912430304998E-2</v>
      </c>
      <c r="BS139" s="139">
        <f t="shared" si="393"/>
        <v>-0.15622222222222226</v>
      </c>
      <c r="BT139" s="107">
        <f t="shared" si="393"/>
        <v>-7.7083172743389605E-3</v>
      </c>
      <c r="BU139" s="107">
        <f t="shared" si="393"/>
        <v>4.6914758269720469E-3</v>
      </c>
      <c r="BV139" s="107">
        <f t="shared" si="393"/>
        <v>-5.7849446814664862E-2</v>
      </c>
      <c r="BW139" s="139">
        <f t="shared" si="393"/>
        <v>-3.9417083662540597E-2</v>
      </c>
      <c r="BX139" s="107">
        <f t="shared" si="393"/>
        <v>-7.6206012584479121E-2</v>
      </c>
      <c r="BY139" s="139">
        <f t="shared" si="393"/>
        <v>-4.3292441630391809E-2</v>
      </c>
      <c r="BZ139" s="107">
        <f t="shared" ref="BZ139" si="394">BZ115/BV115-1</f>
        <v>7.6598357510169635E-2</v>
      </c>
      <c r="CA139" s="107">
        <f t="shared" ref="CA139" si="395">CA115/BW115-1</f>
        <v>0.18853957229025764</v>
      </c>
      <c r="CB139" s="107">
        <f t="shared" ref="CB139" si="396">CB115/BX115-1</f>
        <v>0.10536495122771616</v>
      </c>
      <c r="CC139" s="107">
        <f t="shared" ref="CC139" si="397">CC115/BY115-1</f>
        <v>7.933487756452684E-2</v>
      </c>
      <c r="CD139" s="107">
        <f t="shared" ref="CD139" si="398">CD115/BZ115-1</f>
        <v>-2.8659014757253853E-2</v>
      </c>
      <c r="CE139" s="107">
        <f t="shared" ref="CE139" si="399">CE115/CA115-1</f>
        <v>-1.730103806228378E-2</v>
      </c>
      <c r="CF139" s="107">
        <f t="shared" ref="CF139" si="400">CF115/CB115-1</f>
        <v>-1.8866489159376165E-2</v>
      </c>
      <c r="CG139" s="107">
        <f t="shared" ref="CG139" si="401">CG115/CC115-1</f>
        <v>9.3508086150073666E-3</v>
      </c>
      <c r="CH139" s="107">
        <f t="shared" ref="CH139" si="402">CH115/CD115-1</f>
        <v>5.5045871559633586E-3</v>
      </c>
      <c r="CI139" s="107">
        <f t="shared" ref="CI139" si="403">CI115/CE115-1</f>
        <v>9.8591549295774517E-3</v>
      </c>
      <c r="CJ139" s="107">
        <f t="shared" ref="CJ139" si="404">CJ115/CF115-1</f>
        <v>4.3886175079475898E-2</v>
      </c>
      <c r="CK139" s="107">
        <f t="shared" ref="CK139" si="405">CK115/CG115-1</f>
        <v>9.7197964917610236E-3</v>
      </c>
      <c r="CL139" s="107">
        <f t="shared" ref="CL139" si="406">CL115/CH115-1</f>
        <v>2.2773722627737136E-2</v>
      </c>
      <c r="CM139" s="107">
        <f t="shared" ref="CM139" si="407">CM115/CI115-1</f>
        <v>1.3559584689291748E-2</v>
      </c>
      <c r="CN139" s="107">
        <f t="shared" ref="CN139" si="408">CN115/CJ115-1</f>
        <v>-3.713882492757925E-2</v>
      </c>
      <c r="CO139" s="139">
        <f t="shared" ref="CO139:CS139" si="409">CO115/CK115-1</f>
        <v>-4.6251034067834818E-2</v>
      </c>
      <c r="CP139" s="139">
        <f t="shared" si="409"/>
        <v>-9.1207536397373667E-2</v>
      </c>
      <c r="CQ139" s="139">
        <f t="shared" si="409"/>
        <v>-8.0116199067349569E-2</v>
      </c>
      <c r="CR139" s="139">
        <f t="shared" si="409"/>
        <v>-8.9794029159916633E-2</v>
      </c>
      <c r="CS139" s="139">
        <f t="shared" si="409"/>
        <v>-0.18963885822425486</v>
      </c>
      <c r="CT139" s="139">
        <f>CT115/CP115-1</f>
        <v>-8.6775561488927289E-2</v>
      </c>
      <c r="CU139" s="139">
        <f>CU115/CQ115-1</f>
        <v>0.20631596443114764</v>
      </c>
      <c r="CV139" s="139">
        <f>CV115/CR115-1</f>
        <v>0.60174591067039573</v>
      </c>
      <c r="CW139" s="139">
        <f t="shared" ref="CW139:DA139" si="410">CW115/CS115-1</f>
        <v>1.3441665855794493</v>
      </c>
      <c r="CX139" s="139">
        <f t="shared" si="410"/>
        <v>1.0497033278871788</v>
      </c>
      <c r="CY139" s="139">
        <f t="shared" si="410"/>
        <v>0.76784976163575736</v>
      </c>
      <c r="CZ139" s="139">
        <f t="shared" si="410"/>
        <v>0.46795068522144079</v>
      </c>
      <c r="DA139" s="139">
        <f t="shared" si="410"/>
        <v>-5.6668465402017199E-2</v>
      </c>
      <c r="DB139" s="139">
        <f t="shared" ref="DB139:DJ139" si="411">DB115/CX115-1</f>
        <v>2.2654807853666803E-2</v>
      </c>
      <c r="DC139" s="139">
        <f t="shared" si="411"/>
        <v>-0.29271201103603073</v>
      </c>
      <c r="DD139" s="139">
        <f t="shared" si="411"/>
        <v>-0.54103407010107141</v>
      </c>
      <c r="DE139" s="139">
        <f t="shared" si="411"/>
        <v>-0.41775427047672697</v>
      </c>
      <c r="DF139" s="139">
        <f t="shared" si="411"/>
        <v>-0.41544962257958651</v>
      </c>
      <c r="DG139" s="139">
        <f t="shared" si="411"/>
        <v>-0.18011019283746554</v>
      </c>
      <c r="DH139" s="139">
        <f t="shared" si="411"/>
        <v>2.0262310531689254E-2</v>
      </c>
      <c r="DI139" s="139">
        <f t="shared" si="411"/>
        <v>0.33789298669891177</v>
      </c>
      <c r="DJ139" s="139">
        <f t="shared" si="411"/>
        <v>0.24640325636886806</v>
      </c>
      <c r="DK139" s="139">
        <f t="shared" ref="DK139" si="412">DK115/DG115-1</f>
        <v>-2.5413614676433105E-2</v>
      </c>
      <c r="DL139" s="139">
        <f t="shared" ref="DL139" si="413">DL115/DH115-1</f>
        <v>3.9063967362019669E-2</v>
      </c>
      <c r="DM139" s="139">
        <f t="shared" ref="DM139" si="414">DM115/DI115-1</f>
        <v>-9.7975484381178424E-2</v>
      </c>
      <c r="DN139" s="139">
        <f t="shared" ref="DN139" si="415">DN115/DJ115-1</f>
        <v>-8.844819819819838E-2</v>
      </c>
      <c r="DO139" s="139"/>
      <c r="DP139" s="107"/>
      <c r="DQ139" s="107"/>
      <c r="DU139" s="52"/>
      <c r="DV139" s="52"/>
      <c r="DW139" s="56">
        <f t="shared" ref="DW139:EU139" si="416">DW115/DV115-1</f>
        <v>0.25623668045631187</v>
      </c>
      <c r="DX139" s="56">
        <f t="shared" si="416"/>
        <v>0.12823071549745535</v>
      </c>
      <c r="DY139" s="56">
        <f t="shared" si="416"/>
        <v>0.10596143640544842</v>
      </c>
      <c r="DZ139" s="56">
        <f t="shared" si="416"/>
        <v>8.3173384516954663E-2</v>
      </c>
      <c r="EA139" s="56">
        <f t="shared" si="416"/>
        <v>1.0212709460789791</v>
      </c>
      <c r="EB139" s="56">
        <f t="shared" si="416"/>
        <v>8.0285607249094504E-2</v>
      </c>
      <c r="EC139" s="56">
        <f t="shared" si="416"/>
        <v>-0.10079799824169877</v>
      </c>
      <c r="ED139" s="56">
        <f t="shared" si="416"/>
        <v>-0.16316323844620761</v>
      </c>
      <c r="EE139" s="56">
        <f t="shared" si="416"/>
        <v>0.35849734879122863</v>
      </c>
      <c r="EF139" s="56">
        <f t="shared" si="416"/>
        <v>0.16634691717385541</v>
      </c>
      <c r="EG139" s="56">
        <f t="shared" si="416"/>
        <v>-2.5297070417741985E-2</v>
      </c>
      <c r="EH139" s="56">
        <f t="shared" si="416"/>
        <v>6.0374174401349956E-2</v>
      </c>
      <c r="EI139" s="56">
        <f t="shared" si="416"/>
        <v>-8.1620568543518845E-2</v>
      </c>
      <c r="EJ139" s="56">
        <f t="shared" si="416"/>
        <v>-0.16481970706394067</v>
      </c>
      <c r="EK139" s="56">
        <f t="shared" si="416"/>
        <v>0.31574428504990526</v>
      </c>
      <c r="EL139" s="56">
        <f t="shared" si="416"/>
        <v>0.18779738437695426</v>
      </c>
      <c r="EM139" s="56">
        <f t="shared" si="416"/>
        <v>-4.7292038639381029E-2</v>
      </c>
      <c r="EN139" s="56">
        <f t="shared" si="416"/>
        <v>-0.17356559346468048</v>
      </c>
      <c r="EO139" s="56">
        <f t="shared" si="416"/>
        <v>0.49967147533739209</v>
      </c>
      <c r="EP139" s="56">
        <f t="shared" si="416"/>
        <v>-6.0911540623848959E-2</v>
      </c>
      <c r="EQ139" s="56">
        <f t="shared" si="416"/>
        <v>-8.5320492970830442E-2</v>
      </c>
      <c r="ER139" s="56">
        <f t="shared" si="416"/>
        <v>-0.13070450498882957</v>
      </c>
      <c r="ES139" s="56">
        <f t="shared" si="416"/>
        <v>-2.8653283864309209E-2</v>
      </c>
      <c r="ET139" s="56">
        <f t="shared" si="416"/>
        <v>-0.10574284161580982</v>
      </c>
      <c r="EU139" s="56">
        <f t="shared" si="416"/>
        <v>0.53809656518344573</v>
      </c>
      <c r="EV139" s="56">
        <f t="shared" ref="EV139" si="417">EV115/EU115-1</f>
        <v>-0.11119315973571708</v>
      </c>
      <c r="EW139" s="56">
        <f t="shared" ref="EW139" si="418">EW115/EV115-1</f>
        <v>0.77842494206130586</v>
      </c>
      <c r="EX139" s="56">
        <f>EX115/EW115-1</f>
        <v>0.22992417164157053</v>
      </c>
      <c r="EY139" s="56">
        <f t="shared" ref="EY139:FK139" si="419">EY115/EX115-1</f>
        <v>-0.43231977929710919</v>
      </c>
      <c r="EZ139" s="56">
        <f t="shared" si="419"/>
        <v>0.11519025231982805</v>
      </c>
      <c r="FA139" s="56">
        <f t="shared" si="419"/>
        <v>-5.0146048788190067E-2</v>
      </c>
      <c r="FB139" s="56">
        <f t="shared" si="419"/>
        <v>-9.2676083379045093E-2</v>
      </c>
      <c r="FC139" s="56">
        <f t="shared" si="419"/>
        <v>-9.5033191914740023E-2</v>
      </c>
      <c r="FD139" s="56">
        <f t="shared" si="419"/>
        <v>-7.7779616808555052E-2</v>
      </c>
      <c r="FE139" s="56">
        <f t="shared" si="419"/>
        <v>-0.23143332606196088</v>
      </c>
      <c r="FF139" s="56">
        <f t="shared" si="419"/>
        <v>-8.9763391754880129E-2</v>
      </c>
      <c r="FG139" s="56">
        <f t="shared" si="419"/>
        <v>-0.15542136302366771</v>
      </c>
      <c r="FH139" s="56">
        <f t="shared" si="419"/>
        <v>-6.6915560696004128E-2</v>
      </c>
      <c r="FI139" s="56">
        <f t="shared" si="419"/>
        <v>-6.0134984502021926E-2</v>
      </c>
      <c r="FJ139" s="56">
        <f t="shared" si="419"/>
        <v>-5.4246028284643533E-2</v>
      </c>
      <c r="FK139" s="56">
        <f t="shared" si="419"/>
        <v>-4.8676369858829727E-2</v>
      </c>
      <c r="FL139" s="56"/>
      <c r="FM139" s="56"/>
      <c r="FN139" s="56"/>
      <c r="FO139" s="56"/>
      <c r="FP139" s="56"/>
      <c r="FQ139" s="93"/>
      <c r="FR139" s="56">
        <v>0</v>
      </c>
      <c r="FS139" s="94"/>
      <c r="FT139" s="56"/>
      <c r="FU139" s="14" t="s">
        <v>819</v>
      </c>
    </row>
    <row r="140" spans="2:179" s="5" customFormat="1">
      <c r="B140" s="5" t="s">
        <v>1396</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107"/>
      <c r="BK140" s="107"/>
      <c r="BL140" s="107"/>
      <c r="BM140" s="107"/>
      <c r="BN140" s="107"/>
      <c r="BO140" s="107"/>
      <c r="BP140" s="107"/>
      <c r="BQ140" s="107"/>
      <c r="BR140" s="107"/>
      <c r="BS140" s="139"/>
      <c r="BT140" s="107"/>
      <c r="BU140" s="107"/>
      <c r="BV140" s="107"/>
      <c r="BW140" s="139">
        <v>0.02</v>
      </c>
      <c r="BX140" s="107">
        <v>-0.01</v>
      </c>
      <c r="BY140" s="139">
        <v>0.06</v>
      </c>
      <c r="BZ140" s="107"/>
      <c r="CA140" s="107"/>
      <c r="CB140" s="107"/>
      <c r="CC140" s="107"/>
      <c r="CD140" s="107"/>
      <c r="CE140" s="107"/>
      <c r="CF140" s="107"/>
      <c r="CG140" s="107"/>
      <c r="CH140" s="107"/>
      <c r="CI140" s="107"/>
      <c r="CJ140" s="107"/>
      <c r="CK140" s="107"/>
      <c r="CL140" s="107"/>
      <c r="CM140" s="107"/>
      <c r="CN140" s="139"/>
      <c r="CO140" s="139"/>
      <c r="CP140" s="139">
        <v>-0.01</v>
      </c>
      <c r="CQ140" s="139"/>
      <c r="CR140" s="139"/>
      <c r="CS140" s="139"/>
      <c r="CT140" s="139"/>
      <c r="CU140" s="139"/>
      <c r="CV140" s="139"/>
      <c r="CW140" s="139"/>
      <c r="CX140" s="139">
        <v>1.06</v>
      </c>
      <c r="CY140" s="139">
        <v>0.82</v>
      </c>
      <c r="CZ140" s="139">
        <v>0.53</v>
      </c>
      <c r="DA140" s="139">
        <v>-0.02</v>
      </c>
      <c r="DB140" s="139">
        <v>0.05</v>
      </c>
      <c r="DC140" s="139"/>
      <c r="DD140" s="139"/>
      <c r="DE140" s="139"/>
      <c r="DF140" s="139"/>
      <c r="DG140" s="139"/>
      <c r="DH140" s="139"/>
      <c r="DI140" s="139">
        <v>0.32</v>
      </c>
      <c r="DJ140" s="139">
        <v>0.11</v>
      </c>
      <c r="DK140" s="139"/>
      <c r="DL140" s="139"/>
      <c r="DM140" s="139"/>
      <c r="DN140" s="139"/>
      <c r="DO140" s="139"/>
      <c r="DP140" s="107"/>
      <c r="DQ140" s="107"/>
      <c r="DU140" s="52"/>
      <c r="DV140" s="52"/>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v>0.92</v>
      </c>
      <c r="EX140" s="56"/>
      <c r="EY140" s="56"/>
      <c r="EZ140" s="56">
        <v>0.12</v>
      </c>
      <c r="FA140" s="56"/>
      <c r="FB140" s="56"/>
      <c r="FC140" s="56"/>
      <c r="FD140" s="56"/>
      <c r="FE140" s="56"/>
      <c r="FF140" s="56"/>
      <c r="FG140" s="56"/>
      <c r="FH140" s="56"/>
      <c r="FI140" s="56"/>
      <c r="FJ140" s="56"/>
      <c r="FK140" s="56"/>
      <c r="FL140" s="56"/>
      <c r="FM140" s="56"/>
      <c r="FN140" s="56"/>
      <c r="FO140" s="56"/>
      <c r="FP140" s="56"/>
      <c r="FQ140" s="93"/>
      <c r="FR140" s="56"/>
      <c r="FS140" s="94"/>
      <c r="FT140" s="56"/>
      <c r="FU140" s="194" t="s">
        <v>828</v>
      </c>
    </row>
    <row r="141" spans="2:179" s="5" customFormat="1">
      <c r="B141" s="5" t="s">
        <v>820</v>
      </c>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0"/>
      <c r="AM141" s="50"/>
      <c r="AN141" s="50"/>
      <c r="AO141" s="50"/>
      <c r="AP141" s="50"/>
      <c r="AQ141" s="58">
        <f t="shared" ref="AQ141:BX141" si="420">AQ118/AM118-1</f>
        <v>-2.444771723122241E-2</v>
      </c>
      <c r="AR141" s="58">
        <f t="shared" si="420"/>
        <v>-2.1060842433697324E-2</v>
      </c>
      <c r="AS141" s="58">
        <f t="shared" si="420"/>
        <v>-3.0125299920021331E-2</v>
      </c>
      <c r="AT141" s="58">
        <f t="shared" si="420"/>
        <v>-6.576063130206089E-3</v>
      </c>
      <c r="AU141" s="58">
        <f t="shared" si="420"/>
        <v>2.9287439613526534E-2</v>
      </c>
      <c r="AV141" s="58">
        <f t="shared" si="420"/>
        <v>-1.8326693227091684E-2</v>
      </c>
      <c r="AW141" s="58">
        <f t="shared" si="420"/>
        <v>-5.7449147883452456E-2</v>
      </c>
      <c r="AX141" s="58">
        <f t="shared" si="420"/>
        <v>-0.22550750220653137</v>
      </c>
      <c r="AY141" s="58">
        <f t="shared" si="420"/>
        <v>-0.16984452918744497</v>
      </c>
      <c r="AZ141" s="58">
        <f t="shared" si="420"/>
        <v>-0.11688311688311692</v>
      </c>
      <c r="BA141" s="58">
        <f t="shared" si="420"/>
        <v>-5.9492563429571321E-2</v>
      </c>
      <c r="BB141" s="58">
        <f t="shared" si="420"/>
        <v>0.52279202279202286</v>
      </c>
      <c r="BC141" s="58">
        <f t="shared" si="420"/>
        <v>0.54593639575971742</v>
      </c>
      <c r="BD141" s="58">
        <f t="shared" si="420"/>
        <v>0.44822303921568629</v>
      </c>
      <c r="BE141" s="58">
        <f t="shared" si="420"/>
        <v>0.43100775193798446</v>
      </c>
      <c r="BF141" s="58">
        <f t="shared" si="420"/>
        <v>7.4462114125350753E-2</v>
      </c>
      <c r="BG141" s="58">
        <f t="shared" si="420"/>
        <v>2.8799999999999937E-2</v>
      </c>
      <c r="BH141" s="58">
        <f t="shared" si="420"/>
        <v>4.7175798603765529E-2</v>
      </c>
      <c r="BI141" s="58">
        <f t="shared" si="420"/>
        <v>-1.1917659804983716E-2</v>
      </c>
      <c r="BJ141" s="129">
        <f t="shared" si="420"/>
        <v>-6.8953508619188586E-2</v>
      </c>
      <c r="BK141" s="129">
        <f t="shared" si="420"/>
        <v>-8.6647411686291975E-2</v>
      </c>
      <c r="BL141" s="129">
        <f t="shared" si="420"/>
        <v>-0.20464646464646463</v>
      </c>
      <c r="BM141" s="129">
        <f t="shared" si="420"/>
        <v>-0.18223684210526314</v>
      </c>
      <c r="BN141" s="129">
        <f t="shared" si="420"/>
        <v>-0.1288573031606508</v>
      </c>
      <c r="BO141" s="129">
        <f t="shared" si="420"/>
        <v>-0.15008513743614693</v>
      </c>
      <c r="BP141" s="129">
        <f t="shared" si="420"/>
        <v>-9.8298196596393161E-2</v>
      </c>
      <c r="BQ141" s="129">
        <f t="shared" si="420"/>
        <v>-0.10136765888978283</v>
      </c>
      <c r="BR141" s="129">
        <f t="shared" si="420"/>
        <v>-0.12129669386002573</v>
      </c>
      <c r="BS141" s="140">
        <f t="shared" si="420"/>
        <v>-0.13566113337149399</v>
      </c>
      <c r="BT141" s="129">
        <f t="shared" si="420"/>
        <v>-1.802816901408455E-2</v>
      </c>
      <c r="BU141" s="129">
        <f t="shared" si="420"/>
        <v>-5.0000000000000044E-2</v>
      </c>
      <c r="BV141" s="129">
        <f t="shared" si="420"/>
        <v>-5.0000000000000044E-2</v>
      </c>
      <c r="BW141" s="140">
        <f t="shared" si="420"/>
        <v>1.9205298013245109E-2</v>
      </c>
      <c r="BX141" s="129">
        <f t="shared" si="420"/>
        <v>-3.2702237521514577E-2</v>
      </c>
      <c r="BY141" s="140"/>
      <c r="BZ141" s="129"/>
      <c r="CA141" s="129"/>
      <c r="CB141" s="129"/>
      <c r="CC141" s="129"/>
      <c r="CD141" s="129"/>
      <c r="CE141" s="129"/>
      <c r="CF141" s="129"/>
      <c r="CG141" s="129"/>
      <c r="CH141" s="129"/>
      <c r="CI141" s="129"/>
      <c r="CJ141" s="129"/>
      <c r="CK141" s="129"/>
      <c r="CL141" s="129"/>
      <c r="CM141" s="129"/>
      <c r="CN141" s="140"/>
      <c r="CO141" s="140">
        <f t="shared" ref="CO141:CS141" si="421">+CO118/CK118-1</f>
        <v>-7.9227888216652276E-2</v>
      </c>
      <c r="CP141" s="140">
        <f t="shared" si="421"/>
        <v>2.5705645161290258E-2</v>
      </c>
      <c r="CQ141" s="140">
        <f t="shared" si="421"/>
        <v>-0.17094533373603138</v>
      </c>
      <c r="CR141" s="140">
        <f t="shared" si="421"/>
        <v>-0.18937644341801385</v>
      </c>
      <c r="CS141" s="140">
        <f t="shared" si="421"/>
        <v>-0.16833541927409257</v>
      </c>
      <c r="CT141" s="140">
        <f t="shared" ref="CT141:DA141" si="422">+CT118/CP118-1</f>
        <v>-0.12039312039312045</v>
      </c>
      <c r="CU141" s="140">
        <f t="shared" si="422"/>
        <v>-3.715846994535521E-2</v>
      </c>
      <c r="CV141" s="140">
        <f t="shared" si="422"/>
        <v>-1.0683760683760646E-2</v>
      </c>
      <c r="CW141" s="140">
        <f t="shared" si="422"/>
        <v>2.2949586155003754E-2</v>
      </c>
      <c r="CX141" s="140">
        <f t="shared" si="422"/>
        <v>0.10083798882681561</v>
      </c>
      <c r="CY141" s="140">
        <f t="shared" si="422"/>
        <v>-5.5618615209988675E-2</v>
      </c>
      <c r="CZ141" s="140">
        <f t="shared" si="422"/>
        <v>4.3916486681065514E-2</v>
      </c>
      <c r="DA141" s="140">
        <f t="shared" si="422"/>
        <v>0.19124678190511224</v>
      </c>
      <c r="DB141" s="140">
        <f t="shared" ref="DB141:DF141" si="423">+DB118/CX118-1</f>
        <v>0.1200202994163917</v>
      </c>
      <c r="DC141" s="140">
        <f t="shared" si="423"/>
        <v>5.0000000000000044E-2</v>
      </c>
      <c r="DD141" s="140">
        <f t="shared" si="423"/>
        <v>5.0000000000000044E-2</v>
      </c>
      <c r="DE141" s="140">
        <f t="shared" si="423"/>
        <v>5.0000000000000044E-2</v>
      </c>
      <c r="DF141" s="140">
        <f t="shared" si="423"/>
        <v>1.2913457181694676E-2</v>
      </c>
      <c r="DG141" s="140"/>
      <c r="DH141" s="140"/>
      <c r="DI141" s="140"/>
      <c r="DJ141" s="140"/>
      <c r="DK141" s="140"/>
      <c r="DL141" s="140"/>
      <c r="DM141" s="140"/>
      <c r="DN141" s="140"/>
      <c r="DO141" s="140"/>
      <c r="DP141" s="129"/>
      <c r="DQ141" s="129"/>
      <c r="DU141" s="52"/>
      <c r="DV141" s="52"/>
      <c r="DW141" s="52"/>
      <c r="DX141" s="52"/>
      <c r="DY141" s="52"/>
      <c r="DZ141" s="52"/>
      <c r="EA141" s="52"/>
      <c r="EB141" s="52"/>
      <c r="EC141" s="52"/>
      <c r="ED141" s="52"/>
      <c r="EE141" s="52"/>
      <c r="EF141" s="52"/>
      <c r="EG141" s="52"/>
      <c r="EH141" s="52"/>
      <c r="EI141" s="52"/>
      <c r="EJ141" s="52"/>
      <c r="EK141" s="45"/>
      <c r="EL141" s="45"/>
      <c r="EM141" s="45"/>
      <c r="EN141" s="45"/>
      <c r="EO141" s="45"/>
      <c r="EP141" s="45"/>
      <c r="EQ141" s="45"/>
      <c r="ER141" s="45"/>
      <c r="ES141" s="45"/>
      <c r="ET141" s="45"/>
      <c r="EU141" s="45"/>
      <c r="EV141" s="56"/>
      <c r="EW141" s="56">
        <f t="shared" ref="EW141:EX141" si="424">+EW118/EV118-1</f>
        <v>2.4595030107709359E-2</v>
      </c>
      <c r="EX141" s="56">
        <f t="shared" si="424"/>
        <v>8.0125817399221866E-2</v>
      </c>
      <c r="EY141" s="56">
        <f>+EY118/EX118-1</f>
        <v>3.7454977392903599E-2</v>
      </c>
      <c r="EZ141" s="56">
        <f t="shared" ref="EZ141:FF141" si="425">+EZ118/EY118-1</f>
        <v>-9.9999999999999978E-2</v>
      </c>
      <c r="FA141" s="56">
        <f t="shared" si="425"/>
        <v>0.23438779216142502</v>
      </c>
      <c r="FB141" s="56">
        <f t="shared" si="425"/>
        <v>-0.10000000000000009</v>
      </c>
      <c r="FC141" s="56">
        <f t="shared" si="425"/>
        <v>-9.9999999999999978E-2</v>
      </c>
      <c r="FD141" s="56">
        <f t="shared" si="425"/>
        <v>-9.9999999999999978E-2</v>
      </c>
      <c r="FE141" s="56">
        <f t="shared" si="425"/>
        <v>-9.9999999999999978E-2</v>
      </c>
      <c r="FF141" s="56">
        <f t="shared" si="425"/>
        <v>-9.9999999999999867E-2</v>
      </c>
      <c r="FG141" s="56">
        <f t="shared" ref="FG141" si="426">+FG118/FF118-1</f>
        <v>-9.9999999999999978E-2</v>
      </c>
      <c r="FH141" s="56">
        <f t="shared" ref="FH141" si="427">+FH118/FG118-1</f>
        <v>-9.9999999999999978E-2</v>
      </c>
      <c r="FI141" s="56">
        <f t="shared" ref="FI141" si="428">+FI118/FH118-1</f>
        <v>-9.9999999999999978E-2</v>
      </c>
      <c r="FJ141" s="56">
        <f t="shared" ref="FJ141" si="429">+FJ118/FI118-1</f>
        <v>-0.10000000000000009</v>
      </c>
      <c r="FK141" s="56">
        <f t="shared" ref="FK141" si="430">+FK118/FJ118-1</f>
        <v>-9.9999999999999978E-2</v>
      </c>
      <c r="FL141" s="45"/>
      <c r="FM141" s="45"/>
      <c r="FN141" s="45"/>
      <c r="FO141" s="45"/>
      <c r="FP141" s="45"/>
      <c r="FQ141" s="87"/>
      <c r="FR141" s="45"/>
      <c r="FS141" s="88"/>
      <c r="FT141" s="45"/>
      <c r="FU141" s="14" t="s">
        <v>821</v>
      </c>
    </row>
    <row r="142" spans="2:179">
      <c r="B142" s="14" t="s">
        <v>822</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f t="shared" ref="BB142:BX142" si="431">BB5/AX5-1</f>
        <v>-0.52404643449419575</v>
      </c>
      <c r="BC142" s="129">
        <f t="shared" si="431"/>
        <v>6.8044788975021531E-2</v>
      </c>
      <c r="BD142" s="129">
        <f t="shared" si="431"/>
        <v>0.14852319059742336</v>
      </c>
      <c r="BE142" s="129">
        <f t="shared" si="431"/>
        <v>0.30571428571428561</v>
      </c>
      <c r="BF142" s="131">
        <f t="shared" si="431"/>
        <v>2.6550522648083623</v>
      </c>
      <c r="BG142" s="129">
        <f t="shared" si="431"/>
        <v>0.42555831265508681</v>
      </c>
      <c r="BH142" s="129">
        <f t="shared" si="431"/>
        <v>8.4444444444444544E-2</v>
      </c>
      <c r="BI142" s="129">
        <f t="shared" si="431"/>
        <v>0.20787746170678334</v>
      </c>
      <c r="BJ142" s="129">
        <f t="shared" si="431"/>
        <v>-0.12678741658722592</v>
      </c>
      <c r="BK142" s="129">
        <f t="shared" si="431"/>
        <v>-6.0922541340295955E-2</v>
      </c>
      <c r="BL142" s="129">
        <f t="shared" si="431"/>
        <v>2.4590163934426146E-2</v>
      </c>
      <c r="BM142" s="129">
        <f t="shared" si="431"/>
        <v>-0.14039855072463769</v>
      </c>
      <c r="BN142" s="129">
        <f t="shared" si="431"/>
        <v>0.18886462882096078</v>
      </c>
      <c r="BO142" s="129">
        <f t="shared" si="431"/>
        <v>-0.14087117701575536</v>
      </c>
      <c r="BP142" s="129">
        <f t="shared" si="431"/>
        <v>-3.1000000000000028E-2</v>
      </c>
      <c r="BQ142" s="129">
        <f t="shared" si="431"/>
        <v>1.0537407797681864E-2</v>
      </c>
      <c r="BR142" s="129">
        <f t="shared" si="431"/>
        <v>2.7548209366391241E-2</v>
      </c>
      <c r="BS142" s="140">
        <f t="shared" si="431"/>
        <v>0</v>
      </c>
      <c r="BT142" s="129">
        <f t="shared" si="431"/>
        <v>0.13209494324045412</v>
      </c>
      <c r="BU142" s="129">
        <f t="shared" si="431"/>
        <v>0.18769551616266944</v>
      </c>
      <c r="BV142" s="129">
        <f t="shared" si="431"/>
        <v>0.162645218945487</v>
      </c>
      <c r="BW142" s="140">
        <f t="shared" si="431"/>
        <v>0.40884573894282639</v>
      </c>
      <c r="BX142" s="129">
        <f t="shared" si="431"/>
        <v>0.37010027347310848</v>
      </c>
      <c r="BY142" s="140"/>
      <c r="BZ142" s="129"/>
      <c r="CA142" s="129"/>
      <c r="CB142" s="129"/>
      <c r="CC142" s="129"/>
      <c r="CD142" s="129"/>
      <c r="CE142" s="129"/>
      <c r="CF142" s="129"/>
      <c r="CG142" s="129"/>
      <c r="CH142" s="129"/>
      <c r="CI142" s="129"/>
      <c r="CJ142" s="129"/>
      <c r="CK142" s="129"/>
      <c r="CL142" s="129"/>
      <c r="CM142" s="129"/>
      <c r="CN142" s="140"/>
      <c r="CO142" s="140">
        <f t="shared" ref="CO142:DF142" si="432">+CO5/CK5-1</f>
        <v>-3.4337349397590367E-2</v>
      </c>
      <c r="CP142" s="140">
        <f t="shared" si="432"/>
        <v>4.4312169312169303E-2</v>
      </c>
      <c r="CQ142" s="140">
        <f t="shared" si="432"/>
        <v>-2.4226110363391617E-2</v>
      </c>
      <c r="CR142" s="140">
        <f t="shared" si="432"/>
        <v>-5.3435114503816772E-2</v>
      </c>
      <c r="CS142" s="140">
        <f t="shared" si="432"/>
        <v>-4.3044291952588853E-2</v>
      </c>
      <c r="CT142" s="140">
        <f t="shared" si="432"/>
        <v>0.10829639012032932</v>
      </c>
      <c r="CU142" s="140">
        <f t="shared" si="432"/>
        <v>-0.11448275862068968</v>
      </c>
      <c r="CV142" s="140">
        <f t="shared" si="432"/>
        <v>0.11200716845878134</v>
      </c>
      <c r="CW142" s="140">
        <f t="shared" si="432"/>
        <v>-5.6714471968709268E-2</v>
      </c>
      <c r="CX142" s="140">
        <f t="shared" si="432"/>
        <v>-0.25600000000000001</v>
      </c>
      <c r="CY142" s="140">
        <f t="shared" si="432"/>
        <v>0.21884735202492211</v>
      </c>
      <c r="CZ142" s="140">
        <f t="shared" si="432"/>
        <v>0.15149073327961315</v>
      </c>
      <c r="DA142" s="140">
        <f t="shared" si="432"/>
        <v>0.11057360055286791</v>
      </c>
      <c r="DB142" s="140">
        <f t="shared" si="432"/>
        <v>0.33333333333333326</v>
      </c>
      <c r="DC142" s="140">
        <f t="shared" si="432"/>
        <v>2.3642172523961724E-2</v>
      </c>
      <c r="DD142" s="140">
        <f t="shared" si="432"/>
        <v>-2.8691392582225306E-2</v>
      </c>
      <c r="DE142" s="140">
        <f t="shared" si="432"/>
        <v>0.15370255133789668</v>
      </c>
      <c r="DF142" s="140">
        <f t="shared" si="432"/>
        <v>-7.5460829493087522E-2</v>
      </c>
      <c r="DG142" s="140"/>
      <c r="DH142" s="140"/>
      <c r="DI142" s="140"/>
      <c r="DJ142" s="140"/>
      <c r="DK142" s="140"/>
      <c r="DL142" s="140"/>
      <c r="DM142" s="140"/>
      <c r="DN142" s="140"/>
      <c r="DO142" s="140"/>
      <c r="DP142" s="129"/>
      <c r="DQ142" s="129"/>
      <c r="EA142" s="40"/>
      <c r="EB142" s="40"/>
      <c r="EC142" s="40"/>
      <c r="ED142" s="40"/>
      <c r="EE142" s="40">
        <f t="shared" ref="EE142:ES142" si="433">EE5/ED5-1</f>
        <v>0.46038610038610051</v>
      </c>
      <c r="EF142" s="40">
        <f t="shared" si="433"/>
        <v>0.1142131979695431</v>
      </c>
      <c r="EG142" s="40">
        <f t="shared" si="433"/>
        <v>0.43156795747911936</v>
      </c>
      <c r="EH142" s="40">
        <f t="shared" si="433"/>
        <v>0.3003381290194258</v>
      </c>
      <c r="EI142" s="40">
        <f t="shared" si="433"/>
        <v>0.24356294294600533</v>
      </c>
      <c r="EJ142" s="40">
        <f t="shared" si="433"/>
        <v>0.11357113571135713</v>
      </c>
      <c r="EK142" s="40">
        <f t="shared" si="433"/>
        <v>-0.32795839469808552</v>
      </c>
      <c r="EL142" s="40">
        <f t="shared" si="433"/>
        <v>1.010119078599546</v>
      </c>
      <c r="EM142" s="40">
        <f t="shared" si="433"/>
        <v>0.12973562278550022</v>
      </c>
      <c r="EN142" s="40">
        <f t="shared" si="433"/>
        <v>-6.755126658624877E-3</v>
      </c>
      <c r="EO142" s="40">
        <f t="shared" si="433"/>
        <v>-3.4734029633228025E-2</v>
      </c>
      <c r="EP142" s="40">
        <f t="shared" si="433"/>
        <v>0.12330145948666327</v>
      </c>
      <c r="EQ142" s="40">
        <f t="shared" si="433"/>
        <v>0.39941756272401441</v>
      </c>
      <c r="ER142" s="40">
        <f t="shared" si="433"/>
        <v>-8.4520569873539286E-2</v>
      </c>
      <c r="ES142" s="40">
        <f t="shared" si="433"/>
        <v>-2.0632977793320517E-2</v>
      </c>
      <c r="ET142" s="40"/>
      <c r="EU142" s="40"/>
      <c r="EV142" s="40">
        <f t="shared" ref="EV142:FK142" si="434">EV5/EU5-1</f>
        <v>5.1308363263213863E-4</v>
      </c>
      <c r="EW142" s="40">
        <f t="shared" si="434"/>
        <v>-9.8461538461538489E-2</v>
      </c>
      <c r="EX142" s="40">
        <f t="shared" si="434"/>
        <v>0.201554797117937</v>
      </c>
      <c r="EY142" s="40">
        <f t="shared" si="434"/>
        <v>1.7673978223133879E-2</v>
      </c>
      <c r="EZ142" s="40">
        <f t="shared" si="434"/>
        <v>-5.8923864164986961E-3</v>
      </c>
      <c r="FA142" s="40">
        <f t="shared" si="434"/>
        <v>-4.9999999999999933E-2</v>
      </c>
      <c r="FB142" s="40">
        <f t="shared" si="434"/>
        <v>1.0000000000000009E-2</v>
      </c>
      <c r="FC142" s="40">
        <f t="shared" si="434"/>
        <v>1.0000000000000009E-2</v>
      </c>
      <c r="FD142" s="40">
        <f t="shared" si="434"/>
        <v>1.0000000000000009E-2</v>
      </c>
      <c r="FE142" s="40">
        <f t="shared" si="434"/>
        <v>1.0000000000000009E-2</v>
      </c>
      <c r="FF142" s="40">
        <f t="shared" si="434"/>
        <v>1.0000000000000009E-2</v>
      </c>
      <c r="FG142" s="40">
        <f t="shared" si="434"/>
        <v>1.0000000000000009E-2</v>
      </c>
      <c r="FH142" s="40">
        <f t="shared" si="434"/>
        <v>1.0000000000000009E-2</v>
      </c>
      <c r="FI142" s="40">
        <f t="shared" si="434"/>
        <v>1.0000000000000009E-2</v>
      </c>
      <c r="FJ142" s="40">
        <f t="shared" si="434"/>
        <v>1.0000000000000009E-2</v>
      </c>
      <c r="FK142" s="40">
        <f t="shared" si="434"/>
        <v>1.0000000000000009E-2</v>
      </c>
      <c r="FL142" s="40"/>
      <c r="FM142" s="40"/>
      <c r="FN142" s="40"/>
      <c r="FO142" s="40"/>
      <c r="FP142" s="40"/>
      <c r="FQ142" s="95"/>
      <c r="FR142" s="40"/>
      <c r="FS142" s="96"/>
      <c r="FT142" s="40"/>
      <c r="FU142" s="14" t="s">
        <v>823</v>
      </c>
    </row>
    <row r="143" spans="2:179">
      <c r="B143" s="14" t="s">
        <v>1580</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435">+CO4/CK4-1</f>
        <v>0.17816091954022983</v>
      </c>
      <c r="CP143" s="140">
        <f t="shared" si="435"/>
        <v>0.20769230769230762</v>
      </c>
      <c r="CQ143" s="140">
        <f t="shared" si="435"/>
        <v>0.28585558852621173</v>
      </c>
      <c r="CR143" s="140">
        <f t="shared" si="435"/>
        <v>0.17235023041474662</v>
      </c>
      <c r="CS143" s="140">
        <f t="shared" si="435"/>
        <v>8.6829268292683004E-2</v>
      </c>
      <c r="CT143" s="140">
        <f t="shared" si="435"/>
        <v>0.14831665150136497</v>
      </c>
      <c r="CU143" s="140">
        <f t="shared" si="435"/>
        <v>0.26384615384615384</v>
      </c>
      <c r="CV143" s="140">
        <f t="shared" si="435"/>
        <v>0.16430817610062887</v>
      </c>
      <c r="CW143" s="140">
        <f t="shared" si="435"/>
        <v>0.20825852782764809</v>
      </c>
      <c r="CX143" s="140">
        <f t="shared" si="435"/>
        <v>0.18858954041204434</v>
      </c>
      <c r="CY143" s="140">
        <f t="shared" si="435"/>
        <v>9.1296409007912249E-2</v>
      </c>
      <c r="CZ143" s="140">
        <f t="shared" si="435"/>
        <v>0.1782579338284942</v>
      </c>
      <c r="DA143" s="140">
        <f t="shared" si="435"/>
        <v>8.7667161961366924E-2</v>
      </c>
      <c r="DB143" s="140">
        <f t="shared" si="435"/>
        <v>-1.4000000000000012E-2</v>
      </c>
      <c r="DC143" s="140">
        <f t="shared" si="435"/>
        <v>4.517568321249299E-2</v>
      </c>
      <c r="DD143" s="140">
        <f t="shared" si="435"/>
        <v>9.7421203438394777E-3</v>
      </c>
      <c r="DE143" s="140">
        <f t="shared" si="435"/>
        <v>2.3224043715847076E-2</v>
      </c>
      <c r="DF143" s="140">
        <f t="shared" si="435"/>
        <v>8.9925625422582867E-2</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t="e">
        <f>+EP4/EO4-1</f>
        <v>#DIV/0!</v>
      </c>
      <c r="EQ143" s="40">
        <f>+EQ4/EP4-1</f>
        <v>-1</v>
      </c>
      <c r="ER143" s="40" t="e">
        <f>+ER4/EQ4-1</f>
        <v>#DIV/0!</v>
      </c>
      <c r="ES143" s="40" t="e">
        <f>+ES4/ER4-1</f>
        <v>#DIV/0!</v>
      </c>
      <c r="ET143" s="40"/>
      <c r="EU143" s="40"/>
      <c r="EV143" s="40">
        <f t="shared" ref="EV143:FK143" si="436">+EV4/EU4-1</f>
        <v>0.17251184834123223</v>
      </c>
      <c r="EW143" s="40">
        <f t="shared" si="436"/>
        <v>0.20654810024252224</v>
      </c>
      <c r="EX143" s="40">
        <f t="shared" si="436"/>
        <v>8.559463986599658E-2</v>
      </c>
      <c r="EY143" s="40">
        <f t="shared" si="436"/>
        <v>4.0888751735843165E-2</v>
      </c>
      <c r="EZ143" s="40">
        <f t="shared" si="436"/>
        <v>9.1906314853246407E-2</v>
      </c>
      <c r="FA143" s="40">
        <f t="shared" si="436"/>
        <v>0.10000000000000009</v>
      </c>
      <c r="FB143" s="40">
        <f t="shared" si="436"/>
        <v>1.0000000000000009E-2</v>
      </c>
      <c r="FC143" s="40">
        <f t="shared" si="436"/>
        <v>1.0000000000000009E-2</v>
      </c>
      <c r="FD143" s="40">
        <f t="shared" si="436"/>
        <v>1.0000000000000009E-2</v>
      </c>
      <c r="FE143" s="40">
        <f t="shared" si="436"/>
        <v>-0.9</v>
      </c>
      <c r="FF143" s="40">
        <f t="shared" si="436"/>
        <v>-0.9</v>
      </c>
      <c r="FG143" s="40">
        <f t="shared" si="436"/>
        <v>-0.9</v>
      </c>
      <c r="FH143" s="40">
        <f t="shared" si="436"/>
        <v>-0.9</v>
      </c>
      <c r="FI143" s="40">
        <f t="shared" si="436"/>
        <v>-0.9</v>
      </c>
      <c r="FJ143" s="40">
        <f t="shared" si="436"/>
        <v>-0.9</v>
      </c>
      <c r="FK143" s="40">
        <f t="shared" si="436"/>
        <v>-0.9</v>
      </c>
      <c r="FL143" s="40"/>
      <c r="FM143" s="40"/>
      <c r="FN143" s="40"/>
      <c r="FO143" s="40"/>
      <c r="FP143" s="40"/>
      <c r="FQ143" s="95"/>
      <c r="FR143" s="40"/>
      <c r="FS143" s="96"/>
      <c r="FT143" s="40"/>
      <c r="FU143" s="194" t="s">
        <v>825</v>
      </c>
      <c r="FV143" s="194" t="s">
        <v>826</v>
      </c>
      <c r="FW143" s="194" t="s">
        <v>827</v>
      </c>
    </row>
    <row r="144" spans="2:179">
      <c r="B144" s="14" t="s">
        <v>1581</v>
      </c>
      <c r="AB144" s="58"/>
      <c r="AC144" s="58"/>
      <c r="AD144" s="58"/>
      <c r="AE144" s="58"/>
      <c r="AF144" s="58"/>
      <c r="AG144" s="58"/>
      <c r="AH144" s="58"/>
      <c r="AI144" s="58"/>
      <c r="AJ144" s="58"/>
      <c r="AK144" s="58"/>
      <c r="AL144" s="58"/>
      <c r="AM144" s="58"/>
      <c r="AN144" s="58"/>
      <c r="AO144" s="58"/>
      <c r="AP144" s="130"/>
      <c r="AQ144" s="58"/>
      <c r="AR144" s="58"/>
      <c r="AS144" s="58"/>
      <c r="AT144" s="58"/>
      <c r="AU144" s="58"/>
      <c r="AV144" s="58"/>
      <c r="AW144" s="58"/>
      <c r="AX144" s="58"/>
      <c r="AY144" s="58"/>
      <c r="AZ144" s="58"/>
      <c r="BA144" s="58"/>
      <c r="BB144" s="129"/>
      <c r="BC144" s="129"/>
      <c r="BD144" s="129"/>
      <c r="BE144" s="129"/>
      <c r="BF144" s="131"/>
      <c r="BG144" s="129"/>
      <c r="BH144" s="129"/>
      <c r="BI144" s="129"/>
      <c r="BJ144" s="129"/>
      <c r="BK144" s="129"/>
      <c r="BL144" s="129"/>
      <c r="BM144" s="129"/>
      <c r="BN144" s="129"/>
      <c r="BO144" s="129"/>
      <c r="BP144" s="129"/>
      <c r="BQ144" s="129"/>
      <c r="BR144" s="129"/>
      <c r="BS144" s="140"/>
      <c r="BT144" s="129"/>
      <c r="BU144" s="129"/>
      <c r="BV144" s="129"/>
      <c r="BW144" s="140"/>
      <c r="BX144" s="129"/>
      <c r="BY144" s="140"/>
      <c r="BZ144" s="129"/>
      <c r="CA144" s="129"/>
      <c r="CB144" s="129"/>
      <c r="CC144" s="129"/>
      <c r="CD144" s="129"/>
      <c r="CE144" s="129"/>
      <c r="CF144" s="129"/>
      <c r="CG144" s="129"/>
      <c r="CH144" s="129"/>
      <c r="CI144" s="129"/>
      <c r="CJ144" s="129"/>
      <c r="CK144" s="129"/>
      <c r="CL144" s="129"/>
      <c r="CM144" s="129"/>
      <c r="CN144" s="140"/>
      <c r="CO144" s="140">
        <f t="shared" ref="CO144:DF144" si="437">+CO7/CK7-1</f>
        <v>0.25170731707317073</v>
      </c>
      <c r="CP144" s="140">
        <f t="shared" si="437"/>
        <v>0.13239187996469548</v>
      </c>
      <c r="CQ144" s="140">
        <f t="shared" si="437"/>
        <v>0.10150044130626656</v>
      </c>
      <c r="CR144" s="140">
        <f t="shared" si="437"/>
        <v>6.9785884218873884E-2</v>
      </c>
      <c r="CS144" s="140">
        <f t="shared" si="437"/>
        <v>5.7677318784099763E-2</v>
      </c>
      <c r="CT144" s="140">
        <f t="shared" si="437"/>
        <v>0.11925175370226038</v>
      </c>
      <c r="CU144" s="140">
        <f t="shared" si="437"/>
        <v>4.8076923076922906E-3</v>
      </c>
      <c r="CV144" s="140">
        <f t="shared" si="437"/>
        <v>4.0770941438102337E-2</v>
      </c>
      <c r="CW144" s="140">
        <f t="shared" si="437"/>
        <v>1.7686072218128235E-2</v>
      </c>
      <c r="CX144" s="140">
        <f t="shared" si="437"/>
        <v>-2.6462395543175532E-2</v>
      </c>
      <c r="CY144" s="140">
        <f t="shared" si="437"/>
        <v>-1.3556618819776767E-2</v>
      </c>
      <c r="CZ144" s="140">
        <f t="shared" si="437"/>
        <v>-5.9829059829059839E-2</v>
      </c>
      <c r="DA144" s="140">
        <f t="shared" si="437"/>
        <v>-7.0963070238957315E-2</v>
      </c>
      <c r="DB144" s="140">
        <f t="shared" si="437"/>
        <v>-8.5121602288984244E-2</v>
      </c>
      <c r="DC144" s="140">
        <f t="shared" si="437"/>
        <v>-7.5181891673403389E-2</v>
      </c>
      <c r="DD144" s="140">
        <f t="shared" si="437"/>
        <v>-5.5303030303030298E-2</v>
      </c>
      <c r="DE144" s="140">
        <f t="shared" si="437"/>
        <v>-3.0397505845674244E-2</v>
      </c>
      <c r="DF144" s="140">
        <f t="shared" si="437"/>
        <v>-0.12587959343236899</v>
      </c>
      <c r="DG144" s="140"/>
      <c r="DH144" s="140"/>
      <c r="DI144" s="140"/>
      <c r="DJ144" s="140"/>
      <c r="DK144" s="140"/>
      <c r="DL144" s="140"/>
      <c r="DM144" s="140"/>
      <c r="DN144" s="140"/>
      <c r="DO144" s="140"/>
      <c r="DP144" s="129"/>
      <c r="DQ144" s="129"/>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f t="shared" ref="EV144:FK144" si="438">+EV7/EU7-1</f>
        <v>8.6693548387096753E-2</v>
      </c>
      <c r="EW144" s="40">
        <f t="shared" si="438"/>
        <v>8.7198515769943974E-3</v>
      </c>
      <c r="EX144" s="40">
        <f t="shared" si="438"/>
        <v>-5.848813684016918E-2</v>
      </c>
      <c r="EY144" s="40">
        <f t="shared" si="438"/>
        <v>-7.1498339519437404E-2</v>
      </c>
      <c r="EZ144" s="40">
        <f t="shared" si="438"/>
        <v>-8.1422259625499649E-2</v>
      </c>
      <c r="FA144" s="40">
        <f t="shared" si="438"/>
        <v>-1.9999999999999907E-2</v>
      </c>
      <c r="FB144" s="40">
        <f t="shared" si="438"/>
        <v>-0.19999999999999996</v>
      </c>
      <c r="FC144" s="40">
        <f t="shared" si="438"/>
        <v>-0.19999999999999996</v>
      </c>
      <c r="FD144" s="40">
        <f t="shared" si="438"/>
        <v>-0.20000000000000007</v>
      </c>
      <c r="FE144" s="40">
        <f t="shared" si="438"/>
        <v>-0.19999999999999996</v>
      </c>
      <c r="FF144" s="40">
        <f t="shared" si="438"/>
        <v>-0.19999999999999984</v>
      </c>
      <c r="FG144" s="40">
        <f t="shared" si="438"/>
        <v>-0.19999999999999996</v>
      </c>
      <c r="FH144" s="40">
        <f t="shared" si="438"/>
        <v>-0.19999999999999996</v>
      </c>
      <c r="FI144" s="40">
        <f t="shared" si="438"/>
        <v>-0.19999999999999996</v>
      </c>
      <c r="FJ144" s="40">
        <f t="shared" si="438"/>
        <v>-0.19999999999999996</v>
      </c>
      <c r="FK144" s="40">
        <f t="shared" si="438"/>
        <v>-0.19999999999999996</v>
      </c>
      <c r="FL144" s="40"/>
      <c r="FM144" s="40"/>
      <c r="FN144" s="40"/>
      <c r="FO144" s="40"/>
      <c r="FP144" s="40"/>
      <c r="FQ144" s="95"/>
      <c r="FR144" s="40"/>
      <c r="FS144" s="96"/>
      <c r="FT144" s="40"/>
      <c r="FU144" s="194" t="s">
        <v>829</v>
      </c>
    </row>
    <row r="145" spans="2:177">
      <c r="B145" s="4" t="s">
        <v>830</v>
      </c>
      <c r="AP145" s="62"/>
      <c r="AQ145" s="58"/>
      <c r="AU145" s="40"/>
      <c r="AV145" s="40"/>
      <c r="AW145" s="40"/>
      <c r="AX145" s="40"/>
      <c r="AY145" s="40"/>
      <c r="AZ145" s="40"/>
      <c r="BA145" s="40">
        <f t="shared" ref="BA145:BV145" si="439">BA127/AW127-1</f>
        <v>-0.17420264038294131</v>
      </c>
      <c r="BB145" s="40">
        <f t="shared" si="439"/>
        <v>-0.25005146061640426</v>
      </c>
      <c r="BC145" s="40">
        <f t="shared" si="439"/>
        <v>3.0115825326443746E-2</v>
      </c>
      <c r="BD145" s="40">
        <f t="shared" si="439"/>
        <v>8.9782924742309422E-2</v>
      </c>
      <c r="BE145" s="40">
        <f t="shared" si="439"/>
        <v>0.1905317804991129</v>
      </c>
      <c r="BF145" s="49">
        <f t="shared" si="439"/>
        <v>0.14298496854616127</v>
      </c>
      <c r="BG145" s="49">
        <f t="shared" si="439"/>
        <v>-6.8226424134842034E-2</v>
      </c>
      <c r="BH145" s="49">
        <f t="shared" si="439"/>
        <v>6.3041256341257235E-2</v>
      </c>
      <c r="BI145" s="49">
        <f t="shared" si="439"/>
        <v>2.3142600317022088E-2</v>
      </c>
      <c r="BJ145" s="49">
        <f t="shared" si="439"/>
        <v>-9.4201066151374802E-2</v>
      </c>
      <c r="BK145" s="49">
        <f t="shared" si="439"/>
        <v>-1.9116396000473102E-2</v>
      </c>
      <c r="BL145" s="49">
        <f t="shared" si="439"/>
        <v>-9.6342969881243801E-2</v>
      </c>
      <c r="BM145" s="49">
        <f t="shared" si="439"/>
        <v>-0.15440830303008635</v>
      </c>
      <c r="BN145" s="49">
        <f t="shared" si="439"/>
        <v>-1.5042545384986616E-2</v>
      </c>
      <c r="BO145" s="49">
        <f t="shared" si="439"/>
        <v>-0.10034890350494774</v>
      </c>
      <c r="BP145" s="49">
        <f t="shared" si="439"/>
        <v>-0.10640144219206737</v>
      </c>
      <c r="BQ145" s="49">
        <f t="shared" si="439"/>
        <v>9.6961392919689748E-2</v>
      </c>
      <c r="BR145" s="49">
        <f t="shared" si="439"/>
        <v>0.21371138185558514</v>
      </c>
      <c r="BS145" s="138">
        <f t="shared" si="439"/>
        <v>2.3150561702639738E-2</v>
      </c>
      <c r="BT145" s="49">
        <f t="shared" si="439"/>
        <v>9.8092476576769672E-2</v>
      </c>
      <c r="BU145" s="49">
        <f t="shared" si="439"/>
        <v>2.642758429211356E-2</v>
      </c>
      <c r="BV145" s="49">
        <f t="shared" si="439"/>
        <v>-0.11817203898050976</v>
      </c>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f>EL127/EK127-1</f>
        <v>0.11160714285714279</v>
      </c>
      <c r="EM145" s="56">
        <f>EM127/EL127-1</f>
        <v>-2.0080321285140701E-2</v>
      </c>
      <c r="EN145" s="56">
        <f>EN127/EM127-1</f>
        <v>-7.377049180327877E-2</v>
      </c>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c r="FU145" s="194" t="s">
        <v>824</v>
      </c>
    </row>
    <row r="146" spans="2:177">
      <c r="B146" s="4" t="s">
        <v>831</v>
      </c>
      <c r="AP146" s="62"/>
      <c r="AQ146" s="58"/>
      <c r="AU146" s="40">
        <f t="shared" ref="AU146:BJ146" si="440">AU123/AU149*4</f>
        <v>7.8984819734345346E-2</v>
      </c>
      <c r="AV146" s="40">
        <f t="shared" si="440"/>
        <v>4.2269187986651836E-2</v>
      </c>
      <c r="AW146" s="40">
        <f t="shared" si="440"/>
        <v>4.643554429845391E-2</v>
      </c>
      <c r="AX146" s="40" t="e">
        <f t="shared" si="440"/>
        <v>#DIV/0!</v>
      </c>
      <c r="AY146" s="40">
        <f t="shared" si="440"/>
        <v>1.1571254567600487E-2</v>
      </c>
      <c r="AZ146" s="40">
        <f t="shared" si="440"/>
        <v>3.2474946086515286E-2</v>
      </c>
      <c r="BA146" s="40">
        <f t="shared" si="440"/>
        <v>2.1784152795888623E-2</v>
      </c>
      <c r="BB146" s="40">
        <f t="shared" si="440"/>
        <v>5.253104106972302E-2</v>
      </c>
      <c r="BC146" s="40">
        <f t="shared" si="440"/>
        <v>5.3204965796807703E-2</v>
      </c>
      <c r="BD146" s="40" t="e">
        <f t="shared" si="440"/>
        <v>#DIV/0!</v>
      </c>
      <c r="BE146" s="40" t="e">
        <f t="shared" si="440"/>
        <v>#DIV/0!</v>
      </c>
      <c r="BF146" s="40" t="e">
        <f t="shared" si="440"/>
        <v>#DIV/0!</v>
      </c>
      <c r="BG146" s="40" t="e">
        <f t="shared" si="440"/>
        <v>#DIV/0!</v>
      </c>
      <c r="BH146" s="40" t="e">
        <f t="shared" si="440"/>
        <v>#DIV/0!</v>
      </c>
      <c r="BI146" s="40" t="e">
        <f t="shared" si="440"/>
        <v>#DIV/0!</v>
      </c>
      <c r="BJ146" s="40">
        <f t="shared" si="440"/>
        <v>0.15654118524040253</v>
      </c>
      <c r="BK146" s="49">
        <f t="shared" ref="BK146:BR146" si="441">BK121/BK149*4</f>
        <v>0.28040313549832024</v>
      </c>
      <c r="BL146" s="49">
        <f t="shared" si="441"/>
        <v>0.15496368038740921</v>
      </c>
      <c r="BM146" s="49" t="e">
        <f t="shared" si="441"/>
        <v>#DIV/0!</v>
      </c>
      <c r="BN146" s="49" t="e">
        <f t="shared" si="441"/>
        <v>#DIV/0!</v>
      </c>
      <c r="BO146" s="49" t="e">
        <f t="shared" si="441"/>
        <v>#DIV/0!</v>
      </c>
      <c r="BP146" s="49">
        <f t="shared" si="441"/>
        <v>-4.3451652386780906E-2</v>
      </c>
      <c r="BQ146" s="49">
        <f t="shared" si="441"/>
        <v>-1.3063763608087092E-2</v>
      </c>
      <c r="BR146" s="49">
        <f t="shared" si="441"/>
        <v>6.5233265720081132E-2</v>
      </c>
      <c r="BS146" s="138"/>
      <c r="BT146" s="49"/>
      <c r="BU146" s="49"/>
      <c r="BV146" s="49"/>
      <c r="BW146" s="138"/>
      <c r="BX146" s="49"/>
      <c r="BY146" s="138"/>
      <c r="BZ146" s="49"/>
      <c r="CA146" s="49"/>
      <c r="CB146" s="49"/>
      <c r="CC146" s="49"/>
      <c r="CD146" s="49"/>
      <c r="CE146" s="49"/>
      <c r="CF146" s="49"/>
      <c r="CG146" s="49"/>
      <c r="CH146" s="49"/>
      <c r="CI146" s="49"/>
      <c r="CJ146" s="49"/>
      <c r="CK146" s="49"/>
      <c r="CL146" s="49"/>
      <c r="CM146" s="49"/>
      <c r="CN146" s="138"/>
      <c r="CO146" s="138"/>
      <c r="CP146" s="138"/>
      <c r="CQ146" s="138"/>
      <c r="CR146" s="138"/>
      <c r="CS146" s="138"/>
      <c r="CT146" s="138"/>
      <c r="CU146" s="138"/>
      <c r="CV146" s="138"/>
      <c r="CW146" s="138"/>
      <c r="CX146" s="138"/>
      <c r="CY146" s="138"/>
      <c r="CZ146" s="138"/>
      <c r="DA146" s="138"/>
      <c r="DB146" s="138"/>
      <c r="DC146" s="138"/>
      <c r="DD146" s="138"/>
      <c r="DE146" s="138"/>
      <c r="DF146" s="138"/>
      <c r="DG146" s="138"/>
      <c r="DH146" s="138"/>
      <c r="DI146" s="138"/>
      <c r="DJ146" s="138"/>
      <c r="DK146" s="138"/>
      <c r="DL146" s="138"/>
      <c r="DM146" s="138"/>
      <c r="DN146" s="138"/>
      <c r="DO146" s="138"/>
      <c r="DP146" s="49"/>
      <c r="DQ146" s="49"/>
      <c r="EI146" s="56"/>
      <c r="EJ146" s="56"/>
      <c r="EK146" s="56"/>
      <c r="EL146" s="56"/>
      <c r="EM146" s="56"/>
      <c r="EN146" s="56"/>
      <c r="EO146" s="56"/>
      <c r="EP146" s="56"/>
      <c r="EQ146" s="56"/>
      <c r="ER146" s="56"/>
      <c r="ES146" s="56"/>
      <c r="ET146" s="56"/>
      <c r="EU146" s="56"/>
      <c r="EV146" s="56"/>
      <c r="EW146" s="56"/>
      <c r="EX146" s="56"/>
      <c r="EY146" s="56"/>
      <c r="EZ146" s="56"/>
      <c r="FA146" s="56"/>
      <c r="FB146" s="56"/>
      <c r="FC146" s="56"/>
      <c r="FD146" s="56"/>
      <c r="FE146" s="56"/>
      <c r="FF146" s="56"/>
      <c r="FG146" s="56"/>
      <c r="FH146" s="56"/>
      <c r="FI146" s="56"/>
      <c r="FJ146" s="56"/>
      <c r="FK146" s="56"/>
      <c r="FL146" s="56"/>
      <c r="FM146" s="56"/>
      <c r="FN146" s="56"/>
      <c r="FO146" s="56"/>
      <c r="FP146" s="56"/>
      <c r="FQ146" s="93"/>
      <c r="FR146" s="56"/>
      <c r="FS146" s="94"/>
      <c r="FT146" s="56"/>
    </row>
    <row r="147" spans="2:177">
      <c r="B147" s="4" t="s">
        <v>832</v>
      </c>
      <c r="AP147" s="62"/>
      <c r="AQ147" s="47"/>
      <c r="AR147" s="47"/>
      <c r="AT147" s="47"/>
      <c r="AU147" s="47"/>
      <c r="AV147" s="44"/>
      <c r="AW147" s="44">
        <f>(AW151/AW115)*91.25</f>
        <v>74.30432190147215</v>
      </c>
      <c r="AY147" s="44">
        <f t="shared" ref="AY147:BL147" si="442">(AY151/AY115)*91.25</f>
        <v>75.488053518856177</v>
      </c>
      <c r="AZ147" s="44">
        <f t="shared" si="442"/>
        <v>81.125849655499351</v>
      </c>
      <c r="BA147" s="44">
        <f t="shared" si="442"/>
        <v>82.984572955270195</v>
      </c>
      <c r="BB147" s="44">
        <f t="shared" si="442"/>
        <v>80.893235472154956</v>
      </c>
      <c r="BC147" s="44">
        <f t="shared" si="442"/>
        <v>72.576623035119511</v>
      </c>
      <c r="BD147" s="44">
        <f t="shared" si="442"/>
        <v>0</v>
      </c>
      <c r="BE147" s="44">
        <f t="shared" si="442"/>
        <v>0</v>
      </c>
      <c r="BF147" s="44">
        <f t="shared" si="442"/>
        <v>0</v>
      </c>
      <c r="BG147" s="44">
        <f t="shared" si="442"/>
        <v>0</v>
      </c>
      <c r="BH147" s="44">
        <f t="shared" si="442"/>
        <v>0</v>
      </c>
      <c r="BI147" s="44">
        <f t="shared" si="442"/>
        <v>0</v>
      </c>
      <c r="BJ147" s="44">
        <f t="shared" si="442"/>
        <v>74.15084199211752</v>
      </c>
      <c r="BK147" s="44">
        <f t="shared" si="442"/>
        <v>83.875008101626804</v>
      </c>
      <c r="BL147" s="44">
        <f t="shared" si="442"/>
        <v>78.0688384140267</v>
      </c>
      <c r="BM147" s="44"/>
      <c r="BN147" s="44"/>
      <c r="BO147" s="44"/>
      <c r="BP147" s="44">
        <f>(BP151/BP115)*91.25</f>
        <v>81.050932706390199</v>
      </c>
      <c r="BQ147" s="44">
        <f>(BQ151/BQ115)*91.25</f>
        <v>82.50665951017811</v>
      </c>
      <c r="BR147" s="44">
        <f>(BR151/BR115)*91.25</f>
        <v>61.741720297924651</v>
      </c>
      <c r="BS147" s="115"/>
      <c r="BT147" s="44"/>
      <c r="BU147" s="44"/>
      <c r="BV147" s="44"/>
      <c r="BW147" s="115"/>
      <c r="BX147" s="44"/>
      <c r="BY147" s="115"/>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c r="CZ147" s="115"/>
      <c r="DA147" s="115"/>
      <c r="DB147" s="115"/>
      <c r="DC147" s="115"/>
      <c r="DD147" s="115"/>
      <c r="DE147" s="115"/>
      <c r="DF147" s="115"/>
      <c r="DG147" s="115"/>
      <c r="DH147" s="115"/>
      <c r="DI147" s="115"/>
      <c r="DJ147" s="115"/>
      <c r="DK147" s="115"/>
      <c r="DL147" s="115"/>
      <c r="DM147" s="115"/>
      <c r="DN147" s="115"/>
      <c r="DO147" s="115"/>
      <c r="DP147" s="44"/>
      <c r="DQ147" s="44"/>
    </row>
    <row r="148" spans="2:177">
      <c r="AP148" s="62"/>
      <c r="AQ148" s="47"/>
      <c r="AR148" s="47"/>
      <c r="AT148" s="47"/>
      <c r="AU148" s="47"/>
      <c r="AV148" s="44"/>
      <c r="AW148" s="44"/>
      <c r="AY148" s="44"/>
      <c r="AZ148" s="44"/>
      <c r="BA148" s="44"/>
      <c r="BB148" s="44"/>
      <c r="FQ148" s="83" t="s">
        <v>833</v>
      </c>
      <c r="FR148" s="40">
        <v>0.05</v>
      </c>
      <c r="FU148" s="14" t="s">
        <v>834</v>
      </c>
    </row>
    <row r="149" spans="2:177">
      <c r="B149" s="4" t="s">
        <v>835</v>
      </c>
      <c r="AP149" s="62"/>
      <c r="AQ149" s="51">
        <f t="shared" ref="AQ149:BA149" si="443">AQ150-AQ160</f>
        <v>20.340000000000003</v>
      </c>
      <c r="AR149" s="51">
        <f t="shared" si="443"/>
        <v>19.651</v>
      </c>
      <c r="AS149" s="51">
        <f t="shared" si="443"/>
        <v>19.2</v>
      </c>
      <c r="AT149" s="44">
        <f t="shared" si="443"/>
        <v>17809</v>
      </c>
      <c r="AU149" s="44">
        <f t="shared" si="443"/>
        <v>16864</v>
      </c>
      <c r="AV149" s="44">
        <f t="shared" si="443"/>
        <v>17980</v>
      </c>
      <c r="AW149" s="44">
        <f t="shared" si="443"/>
        <v>18951</v>
      </c>
      <c r="AX149" s="44">
        <f t="shared" si="443"/>
        <v>0</v>
      </c>
      <c r="AY149" s="44">
        <f t="shared" si="443"/>
        <v>19704</v>
      </c>
      <c r="AZ149" s="44">
        <f t="shared" si="443"/>
        <v>23649</v>
      </c>
      <c r="BA149" s="44">
        <f t="shared" si="443"/>
        <v>26074</v>
      </c>
      <c r="BB149" s="44">
        <f>+BB150-BB160</f>
        <v>-8376</v>
      </c>
      <c r="BC149" s="44">
        <f>+BC150-BC160</f>
        <v>-15788</v>
      </c>
      <c r="BD149" s="44"/>
      <c r="BE149" s="44"/>
      <c r="BF149" s="44"/>
      <c r="BG149" s="44"/>
      <c r="BH149" s="44"/>
      <c r="BI149" s="44"/>
      <c r="BJ149" s="65">
        <f>BJ150-BJ160</f>
        <v>-2683</v>
      </c>
      <c r="BK149" s="65">
        <f>BK150-BK160</f>
        <v>-4465</v>
      </c>
      <c r="BL149" s="65">
        <f>BL150-BL160</f>
        <v>-3717</v>
      </c>
      <c r="BM149" s="44"/>
      <c r="BN149" s="44"/>
      <c r="BO149" s="44"/>
      <c r="BP149" s="65">
        <f>BP150-BP160</f>
        <v>13072</v>
      </c>
      <c r="BQ149" s="65">
        <f>BQ150-BQ160</f>
        <v>12860</v>
      </c>
      <c r="BR149" s="65">
        <f>BR150-BR160</f>
        <v>12325</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+CY150-CY160</f>
        <v>8333</v>
      </c>
      <c r="CZ149" s="115">
        <f>+CZ150-CZ160</f>
        <v>11982</v>
      </c>
      <c r="DA149" s="115">
        <f>+DA150-DA160</f>
        <v>13342</v>
      </c>
      <c r="DB149" s="115"/>
      <c r="DC149" s="115"/>
      <c r="DD149" s="115"/>
      <c r="DE149" s="115"/>
      <c r="DF149" s="115"/>
      <c r="DG149" s="115"/>
      <c r="DH149" s="115">
        <f>+DH150-DH160</f>
        <v>-51202</v>
      </c>
      <c r="DI149" s="115">
        <f>+DI150-DI160</f>
        <v>0</v>
      </c>
      <c r="DJ149" s="115">
        <f>+DJ150-DJ160</f>
        <v>-41647</v>
      </c>
      <c r="DK149" s="115"/>
      <c r="DL149" s="115"/>
      <c r="DM149" s="115"/>
      <c r="DN149" s="115"/>
      <c r="DO149" s="115"/>
      <c r="DP149" s="44"/>
      <c r="DQ149" s="44"/>
      <c r="EI149" s="44"/>
      <c r="EJ149" s="44"/>
      <c r="FQ149" s="81" t="s">
        <v>836</v>
      </c>
      <c r="FR149" s="49">
        <v>0.09</v>
      </c>
      <c r="FU149" s="14" t="s">
        <v>837</v>
      </c>
    </row>
    <row r="150" spans="2:177" s="20" customFormat="1">
      <c r="B150" s="20" t="s">
        <v>310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f>2.492+19.978+0.462+4.817</f>
        <v>27.749000000000002</v>
      </c>
      <c r="AR150" s="44">
        <f>2.138+20.115+0.54+5.067</f>
        <v>27.86</v>
      </c>
      <c r="AS150" s="44">
        <v>27.9</v>
      </c>
      <c r="AT150" s="44">
        <f>3406+22069+617+4856</f>
        <v>30948</v>
      </c>
      <c r="AU150" s="44">
        <f>2013+26615+777+4511</f>
        <v>33916</v>
      </c>
      <c r="AV150" s="44">
        <f>820+25359+1041+7105</f>
        <v>34325</v>
      </c>
      <c r="AW150" s="44">
        <f>1265+24752+849+8430</f>
        <v>35296</v>
      </c>
      <c r="AX150" s="44"/>
      <c r="AY150" s="44">
        <f>1247+32805+793+13536</f>
        <v>48381</v>
      </c>
      <c r="AZ150" s="44">
        <f>2244+47403+935+12576</f>
        <v>63158</v>
      </c>
      <c r="BA150" s="44">
        <f>4234+48239+12166+791</f>
        <v>65430</v>
      </c>
      <c r="BB150" s="44">
        <f>1978+23991+1195+13122</f>
        <v>40286</v>
      </c>
      <c r="BC150" s="44">
        <f>1759+15503+12081+919</f>
        <v>30262</v>
      </c>
      <c r="BD150" s="44"/>
      <c r="BE150" s="44"/>
      <c r="BF150" s="44"/>
      <c r="BG150" s="44"/>
      <c r="BH150" s="44"/>
      <c r="BI150" s="44"/>
      <c r="BJ150" s="65">
        <f>3182+23270+9814</f>
        <v>36266</v>
      </c>
      <c r="BK150" s="65">
        <f>2934+21038+10632</f>
        <v>34604</v>
      </c>
      <c r="BL150" s="44">
        <f>3031+21275+10548</f>
        <v>34854</v>
      </c>
      <c r="BM150" s="44"/>
      <c r="BN150" s="44"/>
      <c r="BO150" s="44"/>
      <c r="BP150" s="44">
        <f>2436+31275+16107</f>
        <v>49818</v>
      </c>
      <c r="BQ150" s="44">
        <f>2052+31627+15731</f>
        <v>49410</v>
      </c>
      <c r="BR150" s="44">
        <f>2183+30225+16406</f>
        <v>48814</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f>2470+21427+15995+4742</f>
        <v>44634</v>
      </c>
      <c r="CZ150" s="115">
        <f>1780+31524+14799+4163</f>
        <v>52266</v>
      </c>
      <c r="DA150" s="115">
        <f>1298+34825+9826+4062</f>
        <v>50011</v>
      </c>
      <c r="DB150" s="115"/>
      <c r="DC150" s="115"/>
      <c r="DD150" s="115"/>
      <c r="DE150" s="115"/>
      <c r="DF150" s="115"/>
      <c r="DG150" s="115"/>
      <c r="DH150" s="115">
        <f>1052+6048+8029+3119</f>
        <v>18248</v>
      </c>
      <c r="DI150" s="115"/>
      <c r="DJ150" s="115">
        <f>1043+19434+217+2010</f>
        <v>22704</v>
      </c>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838</v>
      </c>
      <c r="FR150" s="40">
        <v>-0.02</v>
      </c>
      <c r="FS150" s="82"/>
      <c r="FT150" s="44"/>
      <c r="FU150" s="111" t="s">
        <v>839</v>
      </c>
    </row>
    <row r="151" spans="2:177" s="20" customFormat="1">
      <c r="B151" s="20" t="s">
        <v>840</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v>10455</v>
      </c>
      <c r="AR151" s="44">
        <v>9947</v>
      </c>
      <c r="AS151" s="44"/>
      <c r="AT151" s="44">
        <v>9843</v>
      </c>
      <c r="AU151" s="44">
        <v>10432</v>
      </c>
      <c r="AV151" s="44">
        <v>10245</v>
      </c>
      <c r="AW151" s="44">
        <v>9901</v>
      </c>
      <c r="AX151" s="44"/>
      <c r="AY151" s="44">
        <v>9596</v>
      </c>
      <c r="AZ151" s="44">
        <v>10446</v>
      </c>
      <c r="BA151" s="44">
        <v>10552</v>
      </c>
      <c r="BB151" s="44">
        <v>14645</v>
      </c>
      <c r="BC151" s="44">
        <v>13611</v>
      </c>
      <c r="BD151" s="44"/>
      <c r="BE151" s="44"/>
      <c r="BF151" s="44"/>
      <c r="BG151" s="44"/>
      <c r="BH151" s="44"/>
      <c r="BI151" s="44"/>
      <c r="BJ151" s="65">
        <v>13608</v>
      </c>
      <c r="BK151" s="65">
        <v>14182</v>
      </c>
      <c r="BL151" s="44">
        <v>12882</v>
      </c>
      <c r="BM151" s="44"/>
      <c r="BN151" s="44"/>
      <c r="BO151" s="44"/>
      <c r="BP151" s="44">
        <v>11523</v>
      </c>
      <c r="BQ151" s="44">
        <v>11371</v>
      </c>
      <c r="BR151" s="44">
        <v>9357</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13225</v>
      </c>
      <c r="CZ151" s="115">
        <v>15155</v>
      </c>
      <c r="DA151" s="115">
        <v>16076</v>
      </c>
      <c r="DB151" s="115"/>
      <c r="DC151" s="115"/>
      <c r="DD151" s="115"/>
      <c r="DE151" s="115"/>
      <c r="DF151" s="115"/>
      <c r="DG151" s="115"/>
      <c r="DH151" s="115">
        <v>11393</v>
      </c>
      <c r="DI151" s="115"/>
      <c r="DJ151" s="115">
        <v>11463</v>
      </c>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t="s">
        <v>841</v>
      </c>
      <c r="FR151" s="20">
        <f>NPV(FR149,FB126:IB126)+FA126+Main!K5-Main!K6</f>
        <v>124433.44061523292</v>
      </c>
      <c r="FS151" s="82"/>
      <c r="FT151" s="44"/>
    </row>
    <row r="152" spans="2:177" s="20" customFormat="1">
      <c r="B152" s="20" t="s">
        <v>842</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5302</v>
      </c>
      <c r="AU152" s="44">
        <v>5148</v>
      </c>
      <c r="AV152" s="44">
        <v>5334</v>
      </c>
      <c r="AW152" s="44">
        <v>4788</v>
      </c>
      <c r="AX152" s="44"/>
      <c r="AY152" s="44">
        <v>4458</v>
      </c>
      <c r="AZ152" s="44">
        <v>4993</v>
      </c>
      <c r="BA152" s="44">
        <v>5058</v>
      </c>
      <c r="BB152" s="44">
        <v>12403</v>
      </c>
      <c r="BC152" s="44">
        <v>10132</v>
      </c>
      <c r="BD152" s="44"/>
      <c r="BE152" s="44"/>
      <c r="BF152" s="44"/>
      <c r="BG152" s="44"/>
      <c r="BH152" s="44"/>
      <c r="BI152" s="44"/>
      <c r="BJ152" s="65">
        <v>6969</v>
      </c>
      <c r="BK152" s="65">
        <v>7189</v>
      </c>
      <c r="BL152" s="44">
        <v>7001</v>
      </c>
      <c r="BM152" s="44"/>
      <c r="BN152" s="44"/>
      <c r="BO152" s="44"/>
      <c r="BP152" s="44">
        <v>6282</v>
      </c>
      <c r="BQ152" s="44">
        <v>6482</v>
      </c>
      <c r="BR152" s="44">
        <v>6166</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9979</v>
      </c>
      <c r="CZ152" s="115">
        <v>10454</v>
      </c>
      <c r="DA152" s="115">
        <v>9513</v>
      </c>
      <c r="DB152" s="115"/>
      <c r="DC152" s="115"/>
      <c r="DD152" s="115"/>
      <c r="DE152" s="115"/>
      <c r="DF152" s="115"/>
      <c r="DG152" s="115"/>
      <c r="DH152" s="115">
        <v>11447</v>
      </c>
      <c r="DI152" s="115"/>
      <c r="DJ152" s="115">
        <v>10851</v>
      </c>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208">
        <f>FR151/Main!K3</f>
        <v>21.95623194044347</v>
      </c>
      <c r="FS152" s="82"/>
      <c r="FT152" s="44"/>
    </row>
    <row r="153" spans="2:177" s="20" customFormat="1">
      <c r="B153" s="20" t="s">
        <v>843</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5498</v>
      </c>
      <c r="AU153" s="44">
        <v>5939</v>
      </c>
      <c r="AV153" s="44">
        <v>5711</v>
      </c>
      <c r="AW153" s="44">
        <v>6486</v>
      </c>
      <c r="AX153" s="44"/>
      <c r="AY153" s="44">
        <v>5055</v>
      </c>
      <c r="AZ153" s="44">
        <v>5310</v>
      </c>
      <c r="BA153" s="44">
        <v>4679</v>
      </c>
      <c r="BB153" s="44">
        <v>6962</v>
      </c>
      <c r="BC153" s="44">
        <v>7502</v>
      </c>
      <c r="BD153" s="44"/>
      <c r="BE153" s="44"/>
      <c r="BF153" s="44"/>
      <c r="BG153" s="44"/>
      <c r="BH153" s="44"/>
      <c r="BI153" s="44"/>
      <c r="BJ153" s="65">
        <v>9441</v>
      </c>
      <c r="BK153" s="65">
        <v>9361</v>
      </c>
      <c r="BL153" s="44">
        <v>9215</v>
      </c>
      <c r="BM153" s="44"/>
      <c r="BN153" s="44"/>
      <c r="BO153" s="44"/>
      <c r="BP153" s="44">
        <v>9819</v>
      </c>
      <c r="BQ153" s="44">
        <v>7835</v>
      </c>
      <c r="BR153" s="44">
        <f>4624+3613+1554</f>
        <v>9791</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f>3117+4202+5668</f>
        <v>12987</v>
      </c>
      <c r="CZ153" s="115">
        <f>2583+5970+7002</f>
        <v>15555</v>
      </c>
      <c r="DA153" s="115">
        <f>2544+6149+10890</f>
        <v>19583</v>
      </c>
      <c r="DB153" s="115"/>
      <c r="DC153" s="115"/>
      <c r="DD153" s="115"/>
      <c r="DE153" s="115"/>
      <c r="DF153" s="115"/>
      <c r="DG153" s="115"/>
      <c r="DH153" s="115">
        <f>3694+4190</f>
        <v>7884</v>
      </c>
      <c r="DI153" s="115"/>
      <c r="DJ153" s="115">
        <f>3314+4253</f>
        <v>7567</v>
      </c>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844</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114</v>
      </c>
      <c r="AU154" s="44">
        <v>87</v>
      </c>
      <c r="AV154" s="44">
        <v>141</v>
      </c>
      <c r="AW154" s="44">
        <v>186</v>
      </c>
      <c r="AX154" s="44"/>
      <c r="AY154" s="44">
        <v>299</v>
      </c>
      <c r="AZ154" s="44">
        <v>219</v>
      </c>
      <c r="BA154" s="44">
        <v>231</v>
      </c>
      <c r="BB154" s="44">
        <v>496</v>
      </c>
      <c r="BC154" s="44">
        <v>490</v>
      </c>
      <c r="BD154" s="44"/>
      <c r="BE154" s="44"/>
      <c r="BF154" s="44"/>
      <c r="BG154" s="44"/>
      <c r="BH154" s="44"/>
      <c r="BI154" s="44"/>
      <c r="BJ154" s="65">
        <v>101</v>
      </c>
      <c r="BK154" s="65">
        <v>159</v>
      </c>
      <c r="BL154" s="44">
        <v>5361</v>
      </c>
      <c r="BM154" s="44"/>
      <c r="BN154" s="44"/>
      <c r="BO154" s="44"/>
      <c r="BP154" s="44">
        <v>100</v>
      </c>
      <c r="BQ154" s="44">
        <v>133</v>
      </c>
      <c r="BR154" s="44">
        <v>76</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0</v>
      </c>
      <c r="CZ154" s="115">
        <v>0</v>
      </c>
      <c r="DA154" s="115">
        <v>0</v>
      </c>
      <c r="DB154" s="115"/>
      <c r="DC154" s="115"/>
      <c r="DD154" s="115"/>
      <c r="DE154" s="115"/>
      <c r="DF154" s="115"/>
      <c r="DG154" s="115"/>
      <c r="DH154" s="115">
        <v>0</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845</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15734</v>
      </c>
      <c r="AU155" s="44">
        <v>15383</v>
      </c>
      <c r="AV155" s="44">
        <v>14925</v>
      </c>
      <c r="AW155" s="44">
        <v>14332</v>
      </c>
      <c r="AX155" s="44"/>
      <c r="AY155" s="44">
        <v>12936</v>
      </c>
      <c r="AZ155" s="44">
        <v>13194</v>
      </c>
      <c r="BA155" s="44">
        <v>13173</v>
      </c>
      <c r="BB155" s="44">
        <v>22780</v>
      </c>
      <c r="BC155" s="44">
        <v>21651</v>
      </c>
      <c r="BD155" s="44"/>
      <c r="BE155" s="44"/>
      <c r="BF155" s="44"/>
      <c r="BG155" s="44"/>
      <c r="BH155" s="44"/>
      <c r="BI155" s="44"/>
      <c r="BJ155" s="65">
        <v>16938</v>
      </c>
      <c r="BK155" s="65">
        <v>16192</v>
      </c>
      <c r="BL155" s="44">
        <v>14756</v>
      </c>
      <c r="BM155" s="44"/>
      <c r="BN155" s="44"/>
      <c r="BO155" s="44"/>
      <c r="BP155" s="44">
        <v>12443</v>
      </c>
      <c r="BQ155" s="44">
        <v>12359</v>
      </c>
      <c r="BR155" s="44">
        <v>12397</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15109</v>
      </c>
      <c r="CZ155" s="115">
        <v>15244</v>
      </c>
      <c r="DA155" s="115">
        <v>15441</v>
      </c>
      <c r="DB155" s="115"/>
      <c r="DC155" s="115"/>
      <c r="DD155" s="115"/>
      <c r="DE155" s="115"/>
      <c r="DF155" s="115"/>
      <c r="DG155" s="115"/>
      <c r="DH155" s="115">
        <v>18957</v>
      </c>
      <c r="DI155" s="115"/>
      <c r="DJ155" s="115">
        <v>18393</v>
      </c>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846</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21382+20498</f>
        <v>41880</v>
      </c>
      <c r="AU156" s="44">
        <f>21556+19896</f>
        <v>41452</v>
      </c>
      <c r="AV156" s="44">
        <f>21704+19875</f>
        <v>41579</v>
      </c>
      <c r="AW156" s="44">
        <f>21353+18978</f>
        <v>40331</v>
      </c>
      <c r="AX156" s="44"/>
      <c r="AY156" s="44">
        <f>21482+16923</f>
        <v>38405</v>
      </c>
      <c r="AZ156" s="44">
        <f>21794+16611</f>
        <v>38405</v>
      </c>
      <c r="BA156" s="44">
        <f>21796+16125</f>
        <v>37921</v>
      </c>
      <c r="BB156" s="44">
        <f>42376+68015</f>
        <v>110391</v>
      </c>
      <c r="BC156" s="44">
        <f>42648+64480</f>
        <v>107128</v>
      </c>
      <c r="BD156" s="44"/>
      <c r="BE156" s="44"/>
      <c r="BF156" s="44"/>
      <c r="BG156" s="44"/>
      <c r="BH156" s="44"/>
      <c r="BI156" s="44"/>
      <c r="BJ156" s="65">
        <f>45067+53833</f>
        <v>98900</v>
      </c>
      <c r="BK156" s="65">
        <f>45252+52801</f>
        <v>98053</v>
      </c>
      <c r="BL156" s="44">
        <f>44568+48399</f>
        <v>92967</v>
      </c>
      <c r="BM156" s="44"/>
      <c r="BN156" s="44"/>
      <c r="BO156" s="44"/>
      <c r="BP156" s="44">
        <f>42431+41776</f>
        <v>84207</v>
      </c>
      <c r="BQ156" s="44">
        <f>42400+40549</f>
        <v>82949</v>
      </c>
      <c r="BR156" s="44">
        <f>42519+39385</f>
        <v>81904</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29816+50211</f>
        <v>80027</v>
      </c>
      <c r="CZ156" s="115">
        <f>29065+49891</f>
        <v>78956</v>
      </c>
      <c r="DA156" s="115">
        <f>28151+49441</f>
        <v>77592</v>
      </c>
      <c r="DB156" s="115"/>
      <c r="DC156" s="115"/>
      <c r="DD156" s="115"/>
      <c r="DE156" s="115"/>
      <c r="DF156" s="115"/>
      <c r="DG156" s="115"/>
      <c r="DH156" s="115">
        <f>61240+68445</f>
        <v>129685</v>
      </c>
      <c r="DI156" s="115"/>
      <c r="DJ156" s="115">
        <f>55411+68527</f>
        <v>123938</v>
      </c>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847</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v>5949</v>
      </c>
      <c r="AU157" s="44">
        <v>6193</v>
      </c>
      <c r="AV157" s="44">
        <v>4255</v>
      </c>
      <c r="AW157" s="44">
        <v>3929</v>
      </c>
      <c r="AX157" s="44"/>
      <c r="AY157" s="44">
        <v>3802</v>
      </c>
      <c r="AZ157" s="44">
        <v>3614</v>
      </c>
      <c r="BA157" s="44">
        <v>4520</v>
      </c>
      <c r="BB157" s="44">
        <v>4986</v>
      </c>
      <c r="BC157" s="44">
        <v>4337</v>
      </c>
      <c r="BD157" s="44"/>
      <c r="BE157" s="44"/>
      <c r="BF157" s="44"/>
      <c r="BG157" s="44"/>
      <c r="BH157" s="44"/>
      <c r="BI157" s="44"/>
      <c r="BJ157" s="65">
        <v>5779</v>
      </c>
      <c r="BK157" s="65">
        <v>5943</v>
      </c>
      <c r="BL157" s="44">
        <v>5806</v>
      </c>
      <c r="BM157" s="44"/>
      <c r="BN157" s="44"/>
      <c r="BO157" s="44"/>
      <c r="BP157" s="44">
        <v>5143</v>
      </c>
      <c r="BQ157" s="44">
        <v>4982</v>
      </c>
      <c r="BR157" s="44">
        <v>3596</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7879</v>
      </c>
      <c r="CZ157" s="115">
        <v>7659.5</v>
      </c>
      <c r="DA157" s="115">
        <v>7136</v>
      </c>
      <c r="DB157" s="115"/>
      <c r="DC157" s="115"/>
      <c r="DD157" s="115"/>
      <c r="DE157" s="115"/>
      <c r="DF157" s="115"/>
      <c r="DG157" s="115"/>
      <c r="DH157" s="115">
        <f>7867+10710</f>
        <v>18577</v>
      </c>
      <c r="DI157" s="115"/>
      <c r="DJ157" s="115">
        <f>9817+8662</f>
        <v>18479</v>
      </c>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s="20" customFormat="1">
      <c r="B158" s="20" t="s">
        <v>848</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f>SUM(AT152:AT157,AT150,AT151)</f>
        <v>115268</v>
      </c>
      <c r="AU158" s="44">
        <f>SUM(AU152:AU157,AU150,AU151)</f>
        <v>118550</v>
      </c>
      <c r="AV158" s="44">
        <f>SUM(AV152:AV157,AV150,AV151)</f>
        <v>116515</v>
      </c>
      <c r="AW158" s="44">
        <f>SUM(AW152:AW157,AW150,AW151)</f>
        <v>115249</v>
      </c>
      <c r="AX158" s="44"/>
      <c r="AY158" s="44">
        <f>SUM(AY152:AY157,AY150,AY151)</f>
        <v>122932</v>
      </c>
      <c r="AZ158" s="44">
        <f>SUM(AZ152:AZ157,AZ150,AZ151)</f>
        <v>139339</v>
      </c>
      <c r="BA158" s="44">
        <f>SUM(BA152:BA157,BA150,BA151)</f>
        <v>141564</v>
      </c>
      <c r="BB158" s="44">
        <f>SUM(BB152:BB157,BB150,BB151)</f>
        <v>212949</v>
      </c>
      <c r="BC158" s="44">
        <f>SUM(BC152:BC157,BC150,BC151)</f>
        <v>195113</v>
      </c>
      <c r="BD158" s="44"/>
      <c r="BE158" s="44"/>
      <c r="BF158" s="44"/>
      <c r="BG158" s="44"/>
      <c r="BH158" s="44"/>
      <c r="BI158" s="44"/>
      <c r="BJ158" s="65">
        <f>SUM(BJ150:BJ157)</f>
        <v>188002</v>
      </c>
      <c r="BK158" s="65">
        <f>SUM(BK150:BK157)</f>
        <v>185683</v>
      </c>
      <c r="BL158" s="65">
        <f>SUM(BL150:BL157)</f>
        <v>182842</v>
      </c>
      <c r="BM158" s="44"/>
      <c r="BN158" s="44"/>
      <c r="BO158" s="44"/>
      <c r="BP158" s="65">
        <f>SUM(BP150:BP157)</f>
        <v>179335</v>
      </c>
      <c r="BQ158" s="65">
        <f>SUM(BQ150:BQ157)</f>
        <v>175521</v>
      </c>
      <c r="BR158" s="65">
        <f>SUM(BR150:BR157)</f>
        <v>172101</v>
      </c>
      <c r="BS158" s="115"/>
      <c r="BT158" s="44"/>
      <c r="BU158" s="44"/>
      <c r="BV158" s="44"/>
      <c r="BW158" s="115"/>
      <c r="BX158" s="44"/>
      <c r="BY158" s="115"/>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SUM(CY150:CY157)</f>
        <v>183840</v>
      </c>
      <c r="CZ158" s="115">
        <f>SUM(CZ150:CZ157)</f>
        <v>195289.5</v>
      </c>
      <c r="DA158" s="115">
        <f>SUM(DA150:DA157)</f>
        <v>195352</v>
      </c>
      <c r="DB158" s="115"/>
      <c r="DC158" s="115"/>
      <c r="DD158" s="115"/>
      <c r="DE158" s="115"/>
      <c r="DF158" s="115"/>
      <c r="DG158" s="115"/>
      <c r="DH158" s="115">
        <f>SUM(DH150:DH157)</f>
        <v>216191</v>
      </c>
      <c r="DI158" s="115"/>
      <c r="DJ158" s="115">
        <f>SUM(DJ150:DJ157)</f>
        <v>213395</v>
      </c>
      <c r="DK158" s="115"/>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c r="AP159" s="62"/>
      <c r="AT159" s="44"/>
      <c r="AU159" s="44"/>
      <c r="AV159" s="44"/>
      <c r="AW159" s="44"/>
      <c r="AY159" s="44"/>
      <c r="AZ159" s="44"/>
      <c r="BA159" s="44"/>
      <c r="BB159" s="44"/>
      <c r="BC159" s="44"/>
      <c r="BJ159" s="65"/>
      <c r="BK159" s="65"/>
      <c r="BL159" s="65"/>
      <c r="BP159" s="65"/>
      <c r="BQ159" s="65"/>
      <c r="BR159" s="65"/>
    </row>
    <row r="160" spans="2:177" s="20" customFormat="1">
      <c r="B160" s="20" t="s">
        <v>314</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f>2.638+4.771</f>
        <v>7.4089999999999998</v>
      </c>
      <c r="AR160" s="44">
        <f>2.432+5.777</f>
        <v>8.2089999999999996</v>
      </c>
      <c r="AS160" s="44">
        <v>8.6999999999999993</v>
      </c>
      <c r="AT160" s="44">
        <f>5825+7314</f>
        <v>13139</v>
      </c>
      <c r="AU160" s="44">
        <f>8143+8909</f>
        <v>17052</v>
      </c>
      <c r="AV160" s="44">
        <f>9193+7152</f>
        <v>16345</v>
      </c>
      <c r="AW160" s="44">
        <f>9193+7152</f>
        <v>16345</v>
      </c>
      <c r="AX160" s="44"/>
      <c r="AY160" s="44">
        <f>7613+21064</f>
        <v>28677</v>
      </c>
      <c r="AZ160" s="44">
        <f>7645+31864</f>
        <v>39509</v>
      </c>
      <c r="BA160" s="44">
        <f>6954+32402</f>
        <v>39356</v>
      </c>
      <c r="BB160" s="44">
        <f>5469+43193</f>
        <v>48662</v>
      </c>
      <c r="BC160" s="44">
        <f>7769+38281</f>
        <v>46050</v>
      </c>
      <c r="BD160" s="44"/>
      <c r="BE160" s="44"/>
      <c r="BF160" s="44"/>
      <c r="BG160" s="44"/>
      <c r="BH160" s="44"/>
      <c r="BI160" s="44"/>
      <c r="BJ160" s="65">
        <f>4018+34931</f>
        <v>38949</v>
      </c>
      <c r="BK160" s="65">
        <f>5526+33543</f>
        <v>39069</v>
      </c>
      <c r="BL160" s="44">
        <f>7703+30868</f>
        <v>38571</v>
      </c>
      <c r="BM160" s="44"/>
      <c r="BN160" s="44"/>
      <c r="BO160" s="44"/>
      <c r="BP160" s="44">
        <f>5214+31532</f>
        <v>36746</v>
      </c>
      <c r="BQ160" s="44">
        <f>4738+31812</f>
        <v>36550</v>
      </c>
      <c r="BR160" s="44">
        <f>6027+30462</f>
        <v>36489</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f>645+35656</f>
        <v>36301</v>
      </c>
      <c r="CZ160" s="115">
        <f>5990+34294</f>
        <v>40284</v>
      </c>
      <c r="DA160" s="115">
        <f>4040+32629</f>
        <v>36669</v>
      </c>
      <c r="DB160" s="115"/>
      <c r="DC160" s="115"/>
      <c r="DD160" s="115"/>
      <c r="DE160" s="115"/>
      <c r="DF160" s="115"/>
      <c r="DG160" s="115"/>
      <c r="DH160" s="115">
        <f>11944+57506</f>
        <v>69450</v>
      </c>
      <c r="DI160" s="115"/>
      <c r="DJ160" s="115">
        <f>6946+57405</f>
        <v>64351</v>
      </c>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849</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1649</v>
      </c>
      <c r="AX161" s="44"/>
      <c r="AY161" s="44">
        <v>1573</v>
      </c>
      <c r="AZ161" s="44">
        <v>2595</v>
      </c>
      <c r="BA161" s="44">
        <v>2481</v>
      </c>
      <c r="BB161" s="44">
        <v>4370</v>
      </c>
      <c r="BC161" s="44">
        <v>3028</v>
      </c>
      <c r="BD161" s="44"/>
      <c r="BE161" s="44"/>
      <c r="BF161" s="44"/>
      <c r="BG161" s="44"/>
      <c r="BH161" s="44"/>
      <c r="BI161" s="44"/>
      <c r="BJ161" s="65">
        <v>3836</v>
      </c>
      <c r="BK161" s="65">
        <v>3091</v>
      </c>
      <c r="BL161" s="44">
        <v>3165</v>
      </c>
      <c r="BM161" s="44"/>
      <c r="BN161" s="44"/>
      <c r="BO161" s="44"/>
      <c r="BP161" s="44">
        <v>1978</v>
      </c>
      <c r="BQ161" s="44">
        <v>2287</v>
      </c>
      <c r="BR161" s="44">
        <v>3234</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5506</v>
      </c>
      <c r="CZ161" s="115">
        <v>6208</v>
      </c>
      <c r="DA161" s="115">
        <v>6267</v>
      </c>
      <c r="DB161" s="115"/>
      <c r="DC161" s="115"/>
      <c r="DD161" s="115"/>
      <c r="DE161" s="115"/>
      <c r="DF161" s="115"/>
      <c r="DG161" s="115"/>
      <c r="DH161" s="115">
        <v>5106</v>
      </c>
      <c r="DI161" s="115"/>
      <c r="DJ161" s="115">
        <v>5633</v>
      </c>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850</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v>
      </c>
      <c r="AX162" s="44"/>
      <c r="AY162" s="44">
        <v>1</v>
      </c>
      <c r="AZ162" s="44">
        <v>1081</v>
      </c>
      <c r="BA162" s="44">
        <v>1</v>
      </c>
      <c r="BB162" s="44">
        <v>1454</v>
      </c>
      <c r="BC162" s="44">
        <v>1</v>
      </c>
      <c r="BD162" s="44"/>
      <c r="BE162" s="44"/>
      <c r="BF162" s="44"/>
      <c r="BG162" s="44"/>
      <c r="BH162" s="44"/>
      <c r="BI162" s="44"/>
      <c r="BJ162" s="65">
        <v>1796</v>
      </c>
      <c r="BK162" s="65">
        <v>1</v>
      </c>
      <c r="BL162" s="44">
        <v>1826</v>
      </c>
      <c r="BM162" s="44"/>
      <c r="BN162" s="44"/>
      <c r="BO162" s="44"/>
      <c r="BP162" s="44">
        <v>1685</v>
      </c>
      <c r="BQ162" s="44">
        <v>1</v>
      </c>
      <c r="BR162" s="44">
        <v>1663</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0</v>
      </c>
      <c r="CZ162" s="115">
        <v>2245</v>
      </c>
      <c r="DA162" s="115">
        <v>2245</v>
      </c>
      <c r="DB162" s="115"/>
      <c r="DC162" s="115"/>
      <c r="DD162" s="115"/>
      <c r="DE162" s="115"/>
      <c r="DF162" s="115"/>
      <c r="DG162" s="115"/>
      <c r="DH162" s="115">
        <v>2380</v>
      </c>
      <c r="DI162" s="115"/>
      <c r="DJ162" s="115">
        <v>2437</v>
      </c>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851</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735</v>
      </c>
      <c r="AX163" s="44"/>
      <c r="AY163" s="44">
        <v>542</v>
      </c>
      <c r="AZ163" s="44">
        <v>607</v>
      </c>
      <c r="BA163" s="44">
        <f>485+1816</f>
        <v>2301</v>
      </c>
      <c r="BB163" s="44">
        <v>10107</v>
      </c>
      <c r="BC163" s="44">
        <f>765+12301</f>
        <v>13066</v>
      </c>
      <c r="BD163" s="44"/>
      <c r="BE163" s="44"/>
      <c r="BF163" s="44"/>
      <c r="BG163" s="44"/>
      <c r="BH163" s="44"/>
      <c r="BI163" s="44"/>
      <c r="BJ163" s="65">
        <v>1013</v>
      </c>
      <c r="BK163" s="65">
        <v>1930</v>
      </c>
      <c r="BL163" s="44">
        <v>2098</v>
      </c>
      <c r="BM163" s="44"/>
      <c r="BN163" s="44"/>
      <c r="BO163" s="44"/>
      <c r="BP163" s="44">
        <v>904</v>
      </c>
      <c r="BQ163" s="44">
        <v>802</v>
      </c>
      <c r="BR163" s="44">
        <v>678</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3177</v>
      </c>
      <c r="CZ163" s="115">
        <v>3350</v>
      </c>
      <c r="DA163" s="115">
        <v>3071</v>
      </c>
      <c r="DB163" s="115"/>
      <c r="DC163" s="115"/>
      <c r="DD163" s="115"/>
      <c r="DE163" s="115"/>
      <c r="DF163" s="115"/>
      <c r="DG163" s="115"/>
      <c r="DH163" s="115">
        <v>2884</v>
      </c>
      <c r="DI163" s="115"/>
      <c r="DJ163" s="115">
        <v>2910</v>
      </c>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852</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1752</v>
      </c>
      <c r="AX164" s="44"/>
      <c r="AY164" s="44">
        <v>1565</v>
      </c>
      <c r="AZ164" s="44">
        <v>1549</v>
      </c>
      <c r="BA164" s="44">
        <v>1678</v>
      </c>
      <c r="BB164" s="44">
        <v>2242</v>
      </c>
      <c r="BC164" s="44">
        <v>2060</v>
      </c>
      <c r="BD164" s="44"/>
      <c r="BE164" s="44"/>
      <c r="BF164" s="44"/>
      <c r="BG164" s="44"/>
      <c r="BH164" s="44"/>
      <c r="BI164" s="44"/>
      <c r="BJ164" s="65">
        <v>2169</v>
      </c>
      <c r="BK164" s="65">
        <v>1752</v>
      </c>
      <c r="BL164" s="44">
        <v>1493</v>
      </c>
      <c r="BM164" s="44"/>
      <c r="BN164" s="44"/>
      <c r="BO164" s="44"/>
      <c r="BP164" s="44">
        <v>1430</v>
      </c>
      <c r="BQ164" s="44">
        <v>1750</v>
      </c>
      <c r="BR164" s="44">
        <v>1792</v>
      </c>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2249</v>
      </c>
      <c r="CZ164" s="115">
        <v>1997</v>
      </c>
      <c r="DA164" s="115">
        <v>2852</v>
      </c>
      <c r="DB164" s="115"/>
      <c r="DC164" s="115"/>
      <c r="DD164" s="115"/>
      <c r="DE164" s="115"/>
      <c r="DF164" s="115"/>
      <c r="DG164" s="115"/>
      <c r="DH164" s="115">
        <v>2566</v>
      </c>
      <c r="DI164" s="115"/>
      <c r="DJ164" s="115">
        <v>3838</v>
      </c>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111" t="s">
        <v>1379</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c r="AX165" s="44"/>
      <c r="AY165" s="44"/>
      <c r="AZ165" s="44"/>
      <c r="BA165" s="44"/>
      <c r="BB165" s="44"/>
      <c r="BC165" s="44"/>
      <c r="BD165" s="44"/>
      <c r="BE165" s="44"/>
      <c r="BF165" s="44"/>
      <c r="BG165" s="44"/>
      <c r="BH165" s="44"/>
      <c r="BI165" s="44"/>
      <c r="BJ165" s="65"/>
      <c r="BK165" s="65"/>
      <c r="BL165" s="44"/>
      <c r="BM165" s="44"/>
      <c r="BN165" s="44"/>
      <c r="BO165" s="44"/>
      <c r="BP165" s="44"/>
      <c r="BQ165" s="44"/>
      <c r="BR165" s="44"/>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3108</v>
      </c>
      <c r="CZ165" s="115">
        <v>3804</v>
      </c>
      <c r="DA165" s="115">
        <v>6191</v>
      </c>
      <c r="DB165" s="115"/>
      <c r="DC165" s="115"/>
      <c r="DD165" s="115"/>
      <c r="DE165" s="115"/>
      <c r="DF165" s="115"/>
      <c r="DG165" s="115"/>
      <c r="DH165" s="115">
        <v>2528</v>
      </c>
      <c r="DI165" s="115"/>
      <c r="DJ165" s="115">
        <v>1511</v>
      </c>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853</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8173</v>
      </c>
      <c r="AX166" s="44"/>
      <c r="AY166" s="44">
        <v>12046</v>
      </c>
      <c r="AZ166" s="44">
        <v>12632</v>
      </c>
      <c r="BA166" s="44">
        <v>10577</v>
      </c>
      <c r="BB166" s="44">
        <v>13583</v>
      </c>
      <c r="BC166" s="44">
        <v>0</v>
      </c>
      <c r="BD166" s="44"/>
      <c r="BE166" s="44"/>
      <c r="BF166" s="44"/>
      <c r="BG166" s="44"/>
      <c r="BH166" s="44"/>
      <c r="BI166" s="44"/>
      <c r="BJ166" s="65">
        <v>15237</v>
      </c>
      <c r="BK166" s="65">
        <v>14794</v>
      </c>
      <c r="BL166" s="44">
        <f>13215+1298</f>
        <v>14513</v>
      </c>
      <c r="BM166" s="44"/>
      <c r="BN166" s="44"/>
      <c r="BO166" s="44"/>
      <c r="BP166" s="44">
        <f>12218+21</f>
        <v>12239</v>
      </c>
      <c r="BQ166" s="44">
        <v>10774</v>
      </c>
      <c r="BR166" s="44">
        <f>9951+21</f>
        <v>9972</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24583</v>
      </c>
      <c r="CZ166" s="115">
        <v>23816</v>
      </c>
      <c r="DA166" s="115">
        <v>19647</v>
      </c>
      <c r="DB166" s="115"/>
      <c r="DC166" s="115"/>
      <c r="DD166" s="115"/>
      <c r="DE166" s="115"/>
      <c r="DF166" s="115"/>
      <c r="DG166" s="115"/>
      <c r="DH166" s="115">
        <v>16410</v>
      </c>
      <c r="DI166" s="115"/>
      <c r="DJ166" s="115">
        <v>19720</v>
      </c>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854</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f>2425+1747</f>
        <v>4172</v>
      </c>
      <c r="AX167" s="44"/>
      <c r="AY167" s="44">
        <f>4038+1604</f>
        <v>5642</v>
      </c>
      <c r="AZ167" s="44">
        <f>4159+1602</f>
        <v>5761</v>
      </c>
      <c r="BA167" s="44">
        <f>4647+1605</f>
        <v>6252</v>
      </c>
      <c r="BB167" s="44">
        <v>6392</v>
      </c>
      <c r="BC167" s="44">
        <f>6119+3239</f>
        <v>9358</v>
      </c>
      <c r="BD167" s="44"/>
      <c r="BE167" s="44"/>
      <c r="BF167" s="44"/>
      <c r="BG167" s="44"/>
      <c r="BH167" s="44"/>
      <c r="BI167" s="44"/>
      <c r="BJ167" s="65">
        <f>6355+3344</f>
        <v>9699</v>
      </c>
      <c r="BK167" s="65">
        <f>6181+3346</f>
        <v>9527</v>
      </c>
      <c r="BL167" s="44">
        <f>6484+3309</f>
        <v>9793</v>
      </c>
      <c r="BM167" s="44"/>
      <c r="BN167" s="44"/>
      <c r="BO167" s="44"/>
      <c r="BP167" s="44">
        <f>7534+3454</f>
        <v>10988</v>
      </c>
      <c r="BQ167" s="44">
        <f>7588+3423</f>
        <v>11011</v>
      </c>
      <c r="BR167" s="44">
        <f>4635+2668</f>
        <v>7303</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f>3261+233</f>
        <v>3494</v>
      </c>
      <c r="CZ167" s="115">
        <f>3030+227</f>
        <v>3257</v>
      </c>
      <c r="DA167" s="115">
        <f>2738+222</f>
        <v>2960</v>
      </c>
      <c r="DB167" s="115"/>
      <c r="DC167" s="115"/>
      <c r="DD167" s="115"/>
      <c r="DE167" s="115"/>
      <c r="DF167" s="115"/>
      <c r="DG167" s="115"/>
      <c r="DH167" s="115">
        <v>2040</v>
      </c>
      <c r="DI167" s="115"/>
      <c r="DJ167" s="115">
        <v>2115</v>
      </c>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855</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5824</v>
      </c>
      <c r="AX168" s="44"/>
      <c r="AY168" s="44">
        <v>2849</v>
      </c>
      <c r="AZ168" s="44">
        <v>2356</v>
      </c>
      <c r="BA168" s="44">
        <v>2419</v>
      </c>
      <c r="BB168" s="44">
        <v>3243</v>
      </c>
      <c r="BC168" s="44">
        <v>17460</v>
      </c>
      <c r="BD168" s="44"/>
      <c r="BE168" s="44"/>
      <c r="BF168" s="44"/>
      <c r="BG168" s="44"/>
      <c r="BH168" s="44"/>
      <c r="BI168" s="44"/>
      <c r="BJ168" s="65">
        <v>19597</v>
      </c>
      <c r="BK168" s="65">
        <v>19739</v>
      </c>
      <c r="BL168" s="44">
        <v>18487</v>
      </c>
      <c r="BM168" s="44"/>
      <c r="BN168" s="44"/>
      <c r="BO168" s="44"/>
      <c r="BP168" s="44">
        <v>22338</v>
      </c>
      <c r="BQ168" s="44">
        <v>22432</v>
      </c>
      <c r="BR168" s="44">
        <v>25590</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655</v>
      </c>
      <c r="CZ168" s="115">
        <v>558</v>
      </c>
      <c r="DA168" s="115">
        <v>616</v>
      </c>
      <c r="DB168" s="115"/>
      <c r="DC168" s="115"/>
      <c r="DD168" s="115"/>
      <c r="DE168" s="115"/>
      <c r="DF168" s="115"/>
      <c r="DG168" s="115"/>
      <c r="DH168" s="115">
        <f>2227+6532</f>
        <v>8759</v>
      </c>
      <c r="DI168" s="115"/>
      <c r="DJ168" s="115">
        <v>2122</v>
      </c>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856</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6594</v>
      </c>
      <c r="AX169" s="44"/>
      <c r="AY169" s="44">
        <v>6770</v>
      </c>
      <c r="AZ169" s="44">
        <v>7029</v>
      </c>
      <c r="BA169" s="44">
        <v>6843</v>
      </c>
      <c r="BB169" s="44">
        <f>9000+17839</f>
        <v>26839</v>
      </c>
      <c r="BC169" s="44">
        <v>8338</v>
      </c>
      <c r="BD169" s="44"/>
      <c r="BE169" s="44"/>
      <c r="BF169" s="44"/>
      <c r="BG169" s="44"/>
      <c r="BH169" s="44"/>
      <c r="BI169" s="44"/>
      <c r="BJ169" s="65">
        <v>6886</v>
      </c>
      <c r="BK169" s="65">
        <v>6984</v>
      </c>
      <c r="BL169" s="44">
        <v>7099</v>
      </c>
      <c r="BM169" s="44"/>
      <c r="BN169" s="44"/>
      <c r="BO169" s="44"/>
      <c r="BP169" s="44">
        <v>6819</v>
      </c>
      <c r="BQ169" s="44">
        <v>7024</v>
      </c>
      <c r="BR169" s="44">
        <v>3993</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11574</v>
      </c>
      <c r="CZ169" s="115">
        <v>10990</v>
      </c>
      <c r="DA169" s="115">
        <v>9701</v>
      </c>
      <c r="DB169" s="115"/>
      <c r="DC169" s="115"/>
      <c r="DD169" s="115"/>
      <c r="DE169" s="115"/>
      <c r="DF169" s="115"/>
      <c r="DG169" s="115"/>
      <c r="DH169" s="115"/>
      <c r="DI169" s="115"/>
      <c r="DJ169" s="115">
        <v>6112</v>
      </c>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857</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v>2513</v>
      </c>
      <c r="AX170" s="44"/>
      <c r="AY170" s="44">
        <v>2826</v>
      </c>
      <c r="AZ170" s="44">
        <v>2985</v>
      </c>
      <c r="BA170" s="44">
        <v>3136</v>
      </c>
      <c r="BB170" s="44">
        <v>5611</v>
      </c>
      <c r="BC170" s="44">
        <v>5670</v>
      </c>
      <c r="BD170" s="44"/>
      <c r="BE170" s="44"/>
      <c r="BF170" s="44"/>
      <c r="BG170" s="44"/>
      <c r="BH170" s="44"/>
      <c r="BI170" s="44"/>
      <c r="BJ170" s="65">
        <v>6199</v>
      </c>
      <c r="BK170" s="65">
        <v>5119</v>
      </c>
      <c r="BL170" s="44">
        <v>5836</v>
      </c>
      <c r="BM170" s="44"/>
      <c r="BN170" s="44"/>
      <c r="BO170" s="44"/>
      <c r="BP170" s="44">
        <v>5231</v>
      </c>
      <c r="BQ170" s="44">
        <f>4515+21</f>
        <v>4536</v>
      </c>
      <c r="BR170" s="44">
        <v>4767</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10508</v>
      </c>
      <c r="CZ170" s="115">
        <v>11311.5</v>
      </c>
      <c r="DA170" s="115">
        <v>12239</v>
      </c>
      <c r="DB170" s="115"/>
      <c r="DC170" s="115"/>
      <c r="DD170" s="115"/>
      <c r="DE170" s="115"/>
      <c r="DF170" s="115"/>
      <c r="DG170" s="115"/>
      <c r="DH170" s="115">
        <v>16095</v>
      </c>
      <c r="DI170" s="115"/>
      <c r="DJ170" s="115">
        <v>14150</v>
      </c>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20" t="s">
        <v>858</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f>SUM(AW161:AW170,AW160)</f>
        <v>47758</v>
      </c>
      <c r="AX171" s="44"/>
      <c r="AY171" s="44">
        <f>SUM(AY161:AY170,AY160)</f>
        <v>62491</v>
      </c>
      <c r="AZ171" s="44">
        <f>SUM(AZ161:AZ170,AZ160)</f>
        <v>76104</v>
      </c>
      <c r="BA171" s="44">
        <f>SUM(BA161:BA170,BA160)</f>
        <v>75044</v>
      </c>
      <c r="BB171" s="44">
        <f>SUM(BB161:BB170,BB160)</f>
        <v>122503</v>
      </c>
      <c r="BC171" s="44">
        <f>SUM(BC161:BC170,BC160)</f>
        <v>105031</v>
      </c>
      <c r="BD171" s="44"/>
      <c r="BE171" s="44"/>
      <c r="BF171" s="44"/>
      <c r="BG171" s="44"/>
      <c r="BH171" s="44"/>
      <c r="BI171" s="44"/>
      <c r="BJ171" s="65">
        <f>SUM(BJ160:BJ170)</f>
        <v>105381</v>
      </c>
      <c r="BK171" s="65">
        <f>SUM(BK160:BK170)</f>
        <v>102006</v>
      </c>
      <c r="BL171" s="65">
        <f>SUM(BL160:BL170)</f>
        <v>102881</v>
      </c>
      <c r="BM171" s="44"/>
      <c r="BN171" s="44"/>
      <c r="BO171" s="44"/>
      <c r="BP171" s="65">
        <f>SUM(BP160:BP170)</f>
        <v>100358</v>
      </c>
      <c r="BQ171" s="65">
        <f>SUM(BQ160:BQ170)</f>
        <v>97167</v>
      </c>
      <c r="BR171" s="65">
        <f>SUM(BR160:BR170)</f>
        <v>95481</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SUM(CY160:CY170)</f>
        <v>101155</v>
      </c>
      <c r="CZ171" s="115">
        <f>SUM(CZ160:CZ170)</f>
        <v>107820.5</v>
      </c>
      <c r="DA171" s="115">
        <f>SUM(DA160:DA170)</f>
        <v>102458</v>
      </c>
      <c r="DB171" s="115"/>
      <c r="DC171" s="115"/>
      <c r="DD171" s="115"/>
      <c r="DE171" s="115"/>
      <c r="DF171" s="115"/>
      <c r="DG171" s="115"/>
      <c r="DH171" s="115"/>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859</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v>90446</v>
      </c>
      <c r="BC172" s="44">
        <v>90082</v>
      </c>
      <c r="BD172" s="44"/>
      <c r="BE172" s="44"/>
      <c r="BF172" s="44"/>
      <c r="BG172" s="44"/>
      <c r="BH172" s="44"/>
      <c r="BI172" s="44"/>
      <c r="BJ172" s="65">
        <v>82621</v>
      </c>
      <c r="BK172" s="65">
        <v>83677</v>
      </c>
      <c r="BL172" s="65">
        <v>79961</v>
      </c>
      <c r="BM172" s="44"/>
      <c r="BN172" s="44"/>
      <c r="BO172" s="44"/>
      <c r="BP172" s="65">
        <v>78977</v>
      </c>
      <c r="BQ172" s="65">
        <v>78354</v>
      </c>
      <c r="BR172" s="65">
        <v>76620</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v>82685</v>
      </c>
      <c r="CZ172" s="115">
        <v>87469</v>
      </c>
      <c r="DA172" s="115">
        <v>92891</v>
      </c>
      <c r="DB172" s="115"/>
      <c r="DC172" s="115"/>
      <c r="DD172" s="115"/>
      <c r="DE172" s="115"/>
      <c r="DF172" s="115"/>
      <c r="DG172" s="115"/>
      <c r="DH172" s="115">
        <v>87975</v>
      </c>
      <c r="DI172" s="115"/>
      <c r="DJ172" s="115">
        <v>88497</v>
      </c>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s="20" customFormat="1">
      <c r="B173" s="111" t="s">
        <v>860</v>
      </c>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68"/>
      <c r="AQ173" s="44"/>
      <c r="AR173" s="44"/>
      <c r="AS173" s="44"/>
      <c r="AT173" s="44"/>
      <c r="AU173" s="44"/>
      <c r="AV173" s="44"/>
      <c r="AW173" s="44"/>
      <c r="AX173" s="44"/>
      <c r="AY173" s="44"/>
      <c r="AZ173" s="44"/>
      <c r="BA173" s="44"/>
      <c r="BB173" s="44">
        <f>+BB171+BB172</f>
        <v>212949</v>
      </c>
      <c r="BC173" s="44">
        <f>+BC171+BC172</f>
        <v>195113</v>
      </c>
      <c r="BD173" s="44"/>
      <c r="BE173" s="44"/>
      <c r="BF173" s="44"/>
      <c r="BG173" s="44"/>
      <c r="BH173" s="44"/>
      <c r="BI173" s="44"/>
      <c r="BJ173" s="65">
        <f>BJ172+BJ171</f>
        <v>188002</v>
      </c>
      <c r="BK173" s="65">
        <f>BK172+BK171</f>
        <v>185683</v>
      </c>
      <c r="BL173" s="65">
        <f>BL172+BL171</f>
        <v>182842</v>
      </c>
      <c r="BM173" s="44"/>
      <c r="BN173" s="44"/>
      <c r="BO173" s="44"/>
      <c r="BP173" s="65">
        <f>BP172+BP171</f>
        <v>179335</v>
      </c>
      <c r="BQ173" s="65">
        <f>BQ172+BQ171</f>
        <v>175521</v>
      </c>
      <c r="BR173" s="65">
        <f>BR172+BR171</f>
        <v>172101</v>
      </c>
      <c r="BS173" s="115"/>
      <c r="BT173" s="44"/>
      <c r="BU173" s="44"/>
      <c r="BV173" s="44"/>
      <c r="BW173" s="115"/>
      <c r="BX173" s="44"/>
      <c r="BY173" s="115"/>
      <c r="BZ173" s="44"/>
      <c r="CA173" s="44"/>
      <c r="CB173" s="44"/>
      <c r="CC173" s="44"/>
      <c r="CD173" s="44"/>
      <c r="CE173" s="44"/>
      <c r="CF173" s="44"/>
      <c r="CG173" s="44"/>
      <c r="CH173" s="44"/>
      <c r="CI173" s="44"/>
      <c r="CJ173" s="44"/>
      <c r="CK173" s="44"/>
      <c r="CL173" s="44"/>
      <c r="CM173" s="44"/>
      <c r="CN173" s="115"/>
      <c r="CO173" s="115"/>
      <c r="CP173" s="115"/>
      <c r="CQ173" s="115"/>
      <c r="CR173" s="115"/>
      <c r="CS173" s="115"/>
      <c r="CT173" s="115"/>
      <c r="CU173" s="115"/>
      <c r="CV173" s="115"/>
      <c r="CW173" s="115"/>
      <c r="CX173" s="115"/>
      <c r="CY173" s="115">
        <f>CY171+CY172</f>
        <v>183840</v>
      </c>
      <c r="CZ173" s="115">
        <f>CZ171+CZ172</f>
        <v>195289.5</v>
      </c>
      <c r="DA173" s="115">
        <f>DA171+DA172</f>
        <v>195349</v>
      </c>
      <c r="DB173" s="115"/>
      <c r="DC173" s="115"/>
      <c r="DD173" s="115"/>
      <c r="DE173" s="115"/>
      <c r="DF173" s="115"/>
      <c r="DG173" s="115"/>
      <c r="DH173" s="115">
        <f>SUM(DH160:DH172)</f>
        <v>216193</v>
      </c>
      <c r="DI173" s="115"/>
      <c r="DJ173" s="115">
        <f>SUM(DJ160:DJ172)</f>
        <v>213396</v>
      </c>
      <c r="DK173" s="115"/>
      <c r="DL173" s="115"/>
      <c r="DM173" s="115"/>
      <c r="DN173" s="115"/>
      <c r="DO173" s="115"/>
      <c r="DP173" s="44"/>
      <c r="DQ173" s="44"/>
      <c r="DU173" s="44"/>
      <c r="DV173" s="44"/>
      <c r="DW173" s="44"/>
      <c r="DX173" s="44"/>
      <c r="DY173" s="44"/>
      <c r="DZ173" s="44"/>
      <c r="EA173" s="44"/>
      <c r="EB173" s="44"/>
      <c r="EC173" s="44"/>
      <c r="ED173" s="44"/>
      <c r="EE173" s="44"/>
      <c r="EF173" s="44"/>
      <c r="EG173" s="44"/>
      <c r="EH173" s="44"/>
      <c r="EI173" s="44"/>
      <c r="EJ173" s="44"/>
      <c r="EK173" s="44"/>
      <c r="EL173" s="44"/>
      <c r="EM173" s="44"/>
      <c r="EN173" s="44"/>
      <c r="EO173" s="44"/>
      <c r="EP173" s="44"/>
      <c r="EQ173" s="44"/>
      <c r="ER173" s="44"/>
      <c r="ES173" s="44"/>
      <c r="ET173" s="44"/>
      <c r="EU173" s="44"/>
      <c r="EV173" s="44"/>
      <c r="EW173" s="44"/>
      <c r="EX173" s="44"/>
      <c r="EY173" s="44"/>
      <c r="EZ173" s="44"/>
      <c r="FA173" s="44"/>
      <c r="FB173" s="44"/>
      <c r="FC173" s="44"/>
      <c r="FD173" s="44"/>
      <c r="FE173" s="44"/>
      <c r="FF173" s="44"/>
      <c r="FG173" s="44"/>
      <c r="FH173" s="44"/>
      <c r="FI173" s="44"/>
      <c r="FJ173" s="44"/>
      <c r="FK173" s="44"/>
      <c r="FL173" s="44"/>
      <c r="FM173" s="44"/>
      <c r="FN173" s="44"/>
      <c r="FO173" s="44"/>
      <c r="FP173" s="44"/>
      <c r="FQ173" s="81"/>
      <c r="FR173" s="44"/>
      <c r="FS173" s="82"/>
      <c r="FT173" s="44"/>
    </row>
    <row r="174" spans="2:177">
      <c r="B174" s="14"/>
      <c r="AP174" s="62"/>
      <c r="AT174" s="44"/>
      <c r="AU174" s="44"/>
      <c r="AV174" s="44"/>
      <c r="AW174" s="44"/>
      <c r="AY174" s="44"/>
      <c r="AZ174" s="44"/>
      <c r="BA174" s="44"/>
      <c r="BB174" s="44"/>
    </row>
    <row r="175" spans="2:177">
      <c r="B175" s="4" t="s">
        <v>861</v>
      </c>
      <c r="AP175" s="62"/>
      <c r="AQ175" s="44">
        <f t="shared" ref="AQ175:BL175" si="444">AQ126</f>
        <v>4815</v>
      </c>
      <c r="AR175" s="44">
        <f t="shared" si="444"/>
        <v>2751</v>
      </c>
      <c r="AS175" s="44">
        <f t="shared" si="444"/>
        <v>3992</v>
      </c>
      <c r="AT175" s="44">
        <f t="shared" si="444"/>
        <v>3591</v>
      </c>
      <c r="AU175" s="44">
        <f t="shared" si="444"/>
        <v>4831.8029999999999</v>
      </c>
      <c r="AV175" s="44">
        <f t="shared" si="444"/>
        <v>4423.6540000000005</v>
      </c>
      <c r="AW175" s="44">
        <f t="shared" si="444"/>
        <v>4216</v>
      </c>
      <c r="AX175" s="44">
        <f t="shared" si="444"/>
        <v>4434</v>
      </c>
      <c r="AY175" s="44">
        <f t="shared" si="444"/>
        <v>4289.6499999999996</v>
      </c>
      <c r="AZ175" s="44">
        <f t="shared" si="444"/>
        <v>4059.6149999999998</v>
      </c>
      <c r="BA175" s="44">
        <f t="shared" si="444"/>
        <v>3495</v>
      </c>
      <c r="BB175" s="44">
        <f t="shared" si="444"/>
        <v>3872</v>
      </c>
      <c r="BC175" s="44">
        <f t="shared" si="444"/>
        <v>5278</v>
      </c>
      <c r="BD175" s="44">
        <f t="shared" si="444"/>
        <v>5289</v>
      </c>
      <c r="BE175" s="44">
        <f t="shared" si="444"/>
        <v>4967</v>
      </c>
      <c r="BF175" s="44">
        <f t="shared" si="444"/>
        <v>4539</v>
      </c>
      <c r="BG175" s="44">
        <f t="shared" si="444"/>
        <v>4899</v>
      </c>
      <c r="BH175" s="44">
        <f t="shared" si="444"/>
        <v>5527</v>
      </c>
      <c r="BI175" s="44">
        <f t="shared" si="444"/>
        <v>4917</v>
      </c>
      <c r="BJ175" s="44">
        <f t="shared" si="444"/>
        <v>3927</v>
      </c>
      <c r="BK175" s="44">
        <f t="shared" si="444"/>
        <v>4544</v>
      </c>
      <c r="BL175" s="44">
        <f t="shared" si="444"/>
        <v>4744</v>
      </c>
      <c r="CY175" s="115">
        <f>+CY126</f>
        <v>8986.3999999999978</v>
      </c>
      <c r="CZ175" s="115">
        <f>+CZ126</f>
        <v>11389.80000000001</v>
      </c>
      <c r="DA175" s="115">
        <f>+DA126</f>
        <v>10802.800000000003</v>
      </c>
    </row>
    <row r="176" spans="2:177">
      <c r="B176" s="4" t="s">
        <v>862</v>
      </c>
      <c r="AP176" s="62"/>
      <c r="AQ176" s="44">
        <v>3392</v>
      </c>
      <c r="AR176" s="44"/>
      <c r="AS176" s="44"/>
      <c r="AT176" s="44"/>
      <c r="AU176" s="44">
        <v>2784</v>
      </c>
      <c r="AV176" s="44">
        <v>2776</v>
      </c>
      <c r="AW176" s="44">
        <v>2278</v>
      </c>
      <c r="AX176" s="44"/>
      <c r="AY176" s="44">
        <v>2730</v>
      </c>
      <c r="AZ176" s="44">
        <f>4996-AY176</f>
        <v>2266</v>
      </c>
      <c r="BA176" s="44">
        <f>7877-AZ176-AY176</f>
        <v>2881</v>
      </c>
      <c r="BB176" s="44">
        <f>8644-BA176-AZ176-AY176</f>
        <v>767</v>
      </c>
      <c r="BC176" s="44">
        <v>2035</v>
      </c>
      <c r="BK176" s="65">
        <v>1803</v>
      </c>
      <c r="BL176" s="65">
        <f>5063-BK176</f>
        <v>3260</v>
      </c>
      <c r="CY176" s="115">
        <v>7879</v>
      </c>
      <c r="CZ176" s="115">
        <f>17756-CY176</f>
        <v>9877</v>
      </c>
      <c r="DA176" s="115">
        <f>26400-CZ176-CY176</f>
        <v>8644</v>
      </c>
      <c r="FU176" s="20"/>
    </row>
    <row r="177" spans="2:177">
      <c r="B177" s="4" t="s">
        <v>863</v>
      </c>
      <c r="AP177" s="62"/>
      <c r="AQ177" s="44">
        <v>1271</v>
      </c>
      <c r="AR177" s="44"/>
      <c r="AS177" s="44"/>
      <c r="AT177" s="44"/>
      <c r="AU177" s="44">
        <v>1487</v>
      </c>
      <c r="AV177" s="44">
        <f>2716-AU177</f>
        <v>1229</v>
      </c>
      <c r="AW177" s="44">
        <f>3912-AV177-AU177</f>
        <v>1196</v>
      </c>
      <c r="AX177" s="44"/>
      <c r="AY177" s="44">
        <v>1008</v>
      </c>
      <c r="AZ177" s="44">
        <f>2014-AY177</f>
        <v>1006</v>
      </c>
      <c r="BA177" s="44">
        <f>2983-AZ177-AY177</f>
        <v>969</v>
      </c>
      <c r="BB177" s="44">
        <f>4757-BA177-AZ177-AY177</f>
        <v>1774</v>
      </c>
      <c r="BC177" s="44">
        <v>2051</v>
      </c>
      <c r="BK177" s="65">
        <v>2252</v>
      </c>
      <c r="BL177" s="44">
        <f>4002-BK177</f>
        <v>1750</v>
      </c>
      <c r="CY177" s="115">
        <v>1187</v>
      </c>
      <c r="CZ177" s="115">
        <f>2362-CY177</f>
        <v>1175</v>
      </c>
      <c r="DA177" s="115">
        <f>3545-CZ177-CY177</f>
        <v>1183</v>
      </c>
      <c r="FU177" s="39"/>
    </row>
    <row r="178" spans="2:177">
      <c r="B178" s="4" t="s">
        <v>864</v>
      </c>
      <c r="AP178" s="62"/>
      <c r="AQ178" s="44"/>
      <c r="AR178" s="44"/>
      <c r="AS178" s="44"/>
      <c r="AT178" s="44"/>
      <c r="AU178" s="44">
        <v>101</v>
      </c>
      <c r="AV178" s="44">
        <f>166-AU178</f>
        <v>65</v>
      </c>
      <c r="AW178" s="44">
        <f>263-AV178-AU178</f>
        <v>97</v>
      </c>
      <c r="AX178" s="44"/>
      <c r="AY178" s="44">
        <v>71</v>
      </c>
      <c r="AZ178" s="44">
        <f>169-AY178</f>
        <v>98</v>
      </c>
      <c r="BA178" s="44">
        <f>258-AZ178-AY178</f>
        <v>89</v>
      </c>
      <c r="BB178" s="44">
        <f>349-BA178-AZ178-AY178</f>
        <v>91</v>
      </c>
      <c r="BC178" s="44">
        <v>138</v>
      </c>
      <c r="BK178" s="65">
        <v>130</v>
      </c>
      <c r="BL178" s="44">
        <f>247-BK178</f>
        <v>117</v>
      </c>
      <c r="CY178" s="115">
        <v>86</v>
      </c>
      <c r="CZ178" s="115">
        <f>373-CY178</f>
        <v>287</v>
      </c>
      <c r="DA178" s="115">
        <f>508-CZ178-CY178</f>
        <v>135</v>
      </c>
    </row>
    <row r="179" spans="2:177">
      <c r="B179" s="4" t="s">
        <v>865</v>
      </c>
      <c r="AP179" s="62"/>
      <c r="AQ179" s="44"/>
      <c r="AR179" s="44"/>
      <c r="AS179" s="44"/>
      <c r="AT179" s="44"/>
      <c r="AU179" s="44">
        <v>398</v>
      </c>
      <c r="AV179" s="44">
        <f>554-AU179</f>
        <v>156</v>
      </c>
      <c r="AW179" s="44">
        <f>567-AV179-AU179</f>
        <v>13</v>
      </c>
      <c r="AX179" s="44"/>
      <c r="AY179" s="44">
        <v>0</v>
      </c>
      <c r="AZ179" s="44">
        <f>20-AY179</f>
        <v>20</v>
      </c>
      <c r="BA179" s="44">
        <f>20-AZ179-AY179</f>
        <v>0</v>
      </c>
      <c r="BB179" s="44">
        <f>68-BA179-AZ179-AY179-670</f>
        <v>-622</v>
      </c>
      <c r="BC179" s="44">
        <v>74</v>
      </c>
      <c r="BK179" s="65">
        <v>650</v>
      </c>
      <c r="BL179" s="44">
        <f>758-BK179</f>
        <v>108</v>
      </c>
      <c r="CY179" s="115">
        <v>31</v>
      </c>
      <c r="CZ179" s="115">
        <f>58-CY179</f>
        <v>27</v>
      </c>
      <c r="DA179" s="115">
        <f>287-CZ179-CY179</f>
        <v>229</v>
      </c>
    </row>
    <row r="180" spans="2:177">
      <c r="B180" s="4" t="s">
        <v>855</v>
      </c>
      <c r="AP180" s="62"/>
      <c r="AQ180" s="44"/>
      <c r="AR180" s="44"/>
      <c r="AS180" s="44"/>
      <c r="AT180" s="44"/>
      <c r="AU180" s="44">
        <v>544</v>
      </c>
      <c r="AV180" s="44">
        <f>439-AU180</f>
        <v>-105</v>
      </c>
      <c r="AW180" s="44">
        <f>580-AV180-AU180</f>
        <v>141</v>
      </c>
      <c r="AX180" s="44"/>
      <c r="AY180" s="44">
        <v>533</v>
      </c>
      <c r="AZ180" s="44">
        <f>731-AY180</f>
        <v>198</v>
      </c>
      <c r="BA180" s="44">
        <f>1121-AZ180-AY180</f>
        <v>390</v>
      </c>
      <c r="BB180" s="44">
        <f>-9582-BA180-AZ180-AY180</f>
        <v>-10703</v>
      </c>
      <c r="BC180" s="44">
        <v>840</v>
      </c>
      <c r="BK180" s="65">
        <v>-404</v>
      </c>
      <c r="BL180" s="44">
        <f>-120-BK180</f>
        <v>284</v>
      </c>
      <c r="CY180" s="115">
        <v>-2321</v>
      </c>
      <c r="CZ180" s="115">
        <f>-3461-CY180</f>
        <v>-1140</v>
      </c>
      <c r="DA180" s="115">
        <f>-3399-CZ180-CY180</f>
        <v>62</v>
      </c>
    </row>
    <row r="181" spans="2:177">
      <c r="B181" s="4" t="s">
        <v>866</v>
      </c>
      <c r="AP181" s="62"/>
      <c r="AQ181" s="44"/>
      <c r="AR181" s="44"/>
      <c r="AS181" s="44"/>
      <c r="AT181" s="44"/>
      <c r="AU181" s="44">
        <v>242</v>
      </c>
      <c r="AV181" s="44">
        <f>509-AU181</f>
        <v>267</v>
      </c>
      <c r="AW181" s="44">
        <f>649-AV181-AU181</f>
        <v>140</v>
      </c>
      <c r="AX181" s="44"/>
      <c r="AY181" s="44">
        <v>-296</v>
      </c>
      <c r="AZ181" s="44">
        <f>-22-AY181</f>
        <v>274</v>
      </c>
      <c r="BA181" s="44">
        <f>25-AZ181-AY181</f>
        <v>47</v>
      </c>
      <c r="BB181" s="44">
        <f>504-BA181-AZ181-AY181</f>
        <v>479</v>
      </c>
      <c r="BC181" s="44">
        <v>319</v>
      </c>
      <c r="BK181" s="65">
        <v>-28</v>
      </c>
      <c r="BL181" s="44">
        <f>14-BK181</f>
        <v>42</v>
      </c>
      <c r="CY181" s="115">
        <v>815</v>
      </c>
      <c r="CZ181" s="115">
        <f>1270-CY181</f>
        <v>455</v>
      </c>
      <c r="DA181" s="115">
        <f>1481-CZ181-CY181</f>
        <v>211</v>
      </c>
    </row>
    <row r="182" spans="2:177">
      <c r="B182" s="14" t="s">
        <v>867</v>
      </c>
      <c r="AP182" s="62"/>
      <c r="AQ182" s="44"/>
      <c r="AR182" s="44"/>
      <c r="AS182" s="44"/>
      <c r="AT182" s="44"/>
      <c r="AU182" s="44"/>
      <c r="AV182" s="44"/>
      <c r="AW182" s="44"/>
      <c r="AX182" s="44"/>
      <c r="AY182" s="44"/>
      <c r="AZ182" s="44"/>
      <c r="BA182" s="44"/>
      <c r="BB182" s="44"/>
      <c r="BC182" s="44"/>
      <c r="BK182" s="65">
        <v>-71</v>
      </c>
      <c r="BL182" s="44">
        <f>-20-BK182</f>
        <v>51</v>
      </c>
      <c r="CY182" s="115">
        <v>-404</v>
      </c>
      <c r="CZ182" s="115">
        <f>-146-CY182</f>
        <v>258</v>
      </c>
      <c r="DA182" s="115">
        <f>-532-CZ182-CY182</f>
        <v>-386</v>
      </c>
    </row>
    <row r="183" spans="2:177">
      <c r="B183" s="4" t="s">
        <v>868</v>
      </c>
      <c r="AP183" s="62"/>
      <c r="AQ183" s="44"/>
      <c r="AR183" s="44"/>
      <c r="AS183" s="44"/>
      <c r="AT183" s="44"/>
      <c r="AU183" s="44">
        <v>-23</v>
      </c>
      <c r="AV183" s="44">
        <v>23</v>
      </c>
      <c r="AW183" s="44"/>
      <c r="AX183" s="44"/>
      <c r="AY183" s="44">
        <v>0</v>
      </c>
      <c r="AZ183" s="37">
        <v>0</v>
      </c>
      <c r="BA183" s="37">
        <v>0</v>
      </c>
      <c r="BB183" s="37">
        <v>0</v>
      </c>
      <c r="BK183" s="65"/>
      <c r="CY183" s="115">
        <v>0</v>
      </c>
      <c r="CZ183" s="115">
        <v>0</v>
      </c>
      <c r="DA183" s="115">
        <v>0</v>
      </c>
    </row>
    <row r="184" spans="2:177">
      <c r="B184" s="4" t="s">
        <v>869</v>
      </c>
      <c r="AP184" s="62"/>
      <c r="AQ184" s="44">
        <v>-3587</v>
      </c>
      <c r="AU184" s="44">
        <v>-2262</v>
      </c>
      <c r="AV184" s="44">
        <f>-1631-AU184</f>
        <v>631</v>
      </c>
      <c r="AW184" s="44">
        <f>-1544-AV184-AU184</f>
        <v>87</v>
      </c>
      <c r="AX184" s="44"/>
      <c r="AY184" s="44">
        <v>-899</v>
      </c>
      <c r="AZ184" s="44">
        <f>-247-AY184</f>
        <v>652</v>
      </c>
      <c r="BA184" s="44">
        <f>-522-AZ184-AY184</f>
        <v>-275</v>
      </c>
      <c r="BB184" s="44">
        <f>-472+1631-867+1695-9454+1076-BA184-AZ184-AY184</f>
        <v>-5869</v>
      </c>
      <c r="BC184" s="44">
        <v>-11817</v>
      </c>
      <c r="BK184" s="65">
        <v>-1558</v>
      </c>
      <c r="BL184" s="44">
        <f>-3035-BK184-114</f>
        <v>-1591</v>
      </c>
      <c r="CY184" s="115">
        <v>-730</v>
      </c>
      <c r="CZ184" s="115">
        <f>-3496-CY184-5</f>
        <v>-2771</v>
      </c>
      <c r="DA184" s="115">
        <f>-7605-CZ184-CY184</f>
        <v>-4104</v>
      </c>
    </row>
    <row r="185" spans="2:177">
      <c r="B185" s="4" t="s">
        <v>870</v>
      </c>
      <c r="AP185" s="62"/>
      <c r="AQ185" s="44">
        <v>1243</v>
      </c>
      <c r="AR185" s="44">
        <f>4908-AQ185</f>
        <v>3665</v>
      </c>
      <c r="AS185" s="44"/>
      <c r="AT185" s="44"/>
      <c r="AU185" s="44">
        <f>SUM(AU176:AU184)</f>
        <v>3271</v>
      </c>
      <c r="AV185" s="44">
        <f>SUM(AV176:AV184)</f>
        <v>5042</v>
      </c>
      <c r="AW185" s="44">
        <f>SUM(AW176:AW184)</f>
        <v>3952</v>
      </c>
      <c r="AY185" s="44">
        <f>SUM(AY176:AY184)</f>
        <v>3147</v>
      </c>
      <c r="AZ185" s="44">
        <f>SUM(AZ176:AZ184)</f>
        <v>4514</v>
      </c>
      <c r="BA185" s="44">
        <f>SUM(BA176:BA184)</f>
        <v>4101</v>
      </c>
      <c r="BB185" s="44">
        <f>SUM(BB176:BB184)</f>
        <v>-14083</v>
      </c>
      <c r="BC185" s="44">
        <f>SUM(BC176:BC184)</f>
        <v>-6360</v>
      </c>
      <c r="BK185" s="65">
        <f>SUM(BK176:BK184)</f>
        <v>2774</v>
      </c>
      <c r="BL185" s="65">
        <f>SUM(BL176:BL184)</f>
        <v>4021</v>
      </c>
      <c r="BM185" s="44"/>
      <c r="CY185" s="115">
        <f>SUM(CY176:CY184)</f>
        <v>6543</v>
      </c>
      <c r="CZ185" s="115">
        <f>SUM(CZ176:CZ184)</f>
        <v>8168</v>
      </c>
      <c r="DA185" s="115">
        <f>SUM(DA176:DA184)</f>
        <v>5974</v>
      </c>
    </row>
    <row r="186" spans="2:177">
      <c r="AP186" s="62"/>
      <c r="AQ186" s="44"/>
      <c r="AR186" s="44"/>
      <c r="AS186" s="44"/>
      <c r="AT186" s="44"/>
      <c r="AU186" s="44"/>
      <c r="AV186" s="44"/>
      <c r="AW186" s="44"/>
      <c r="AY186" s="44"/>
      <c r="AZ186" s="44"/>
      <c r="BA186" s="44"/>
      <c r="BB186" s="44"/>
      <c r="BC186" s="44"/>
      <c r="BK186" s="65"/>
      <c r="BL186" s="65"/>
      <c r="BM186" s="44"/>
      <c r="CZ186" s="115"/>
      <c r="DA186" s="115"/>
    </row>
    <row r="187" spans="2:177">
      <c r="B187" s="14" t="s">
        <v>871</v>
      </c>
      <c r="AP187" s="62"/>
      <c r="AU187" s="44"/>
      <c r="AY187" s="37">
        <v>-253</v>
      </c>
      <c r="AZ187" s="37">
        <f>-522-AY187</f>
        <v>-269</v>
      </c>
      <c r="BA187" s="37">
        <f>-783-AZ187-AY187</f>
        <v>-261</v>
      </c>
      <c r="BB187" s="37">
        <f>-1205-BA187-AZ187-AY187</f>
        <v>-422</v>
      </c>
      <c r="BC187" s="37">
        <v>-305</v>
      </c>
      <c r="BK187" s="69">
        <v>-254</v>
      </c>
      <c r="BL187" s="37">
        <f>-548-BK187</f>
        <v>-294</v>
      </c>
      <c r="CY187" s="115">
        <v>-643</v>
      </c>
      <c r="CZ187" s="115">
        <f>-1394-CY187</f>
        <v>-751</v>
      </c>
      <c r="DA187" s="115">
        <f>-2235-CZ187-CY187</f>
        <v>-841</v>
      </c>
    </row>
    <row r="188" spans="2:177">
      <c r="B188" s="14" t="s">
        <v>1570</v>
      </c>
      <c r="AP188" s="62"/>
      <c r="AU188" s="44"/>
      <c r="CY188" s="115">
        <f>-8758+13421+3409-676+52-13</f>
        <v>7435</v>
      </c>
      <c r="CZ188" s="115">
        <f>-18937+20151-3153-1324+226-CY188</f>
        <v>-10472</v>
      </c>
      <c r="DA188" s="115">
        <f>-29701+35087-10877-1627+446-200-CZ188-CY188</f>
        <v>-3835</v>
      </c>
    </row>
    <row r="189" spans="2:177">
      <c r="B189" s="14" t="s">
        <v>873</v>
      </c>
      <c r="AP189" s="62"/>
      <c r="AU189" s="44"/>
      <c r="CY189" s="115">
        <v>-6225</v>
      </c>
      <c r="CZ189" s="115">
        <f>-6225-CY189-91</f>
        <v>-91</v>
      </c>
      <c r="DA189" s="115">
        <f>-6225-CZ189-CY189</f>
        <v>91</v>
      </c>
    </row>
    <row r="190" spans="2:177">
      <c r="B190" s="14" t="s">
        <v>1572</v>
      </c>
      <c r="AP190" s="62"/>
      <c r="AU190" s="44"/>
      <c r="CY190" s="115">
        <v>0</v>
      </c>
      <c r="CZ190" s="115">
        <v>0</v>
      </c>
      <c r="DA190" s="122">
        <f>3960-CZ190-CZ189</f>
        <v>4051</v>
      </c>
    </row>
    <row r="191" spans="2:177">
      <c r="B191" s="14" t="s">
        <v>1571</v>
      </c>
      <c r="AP191" s="62"/>
      <c r="AU191" s="44"/>
      <c r="CY191" s="115">
        <f>SUM(CY187:CY190)</f>
        <v>567</v>
      </c>
      <c r="CZ191" s="115">
        <f>SUM(CZ187:CZ190)</f>
        <v>-11314</v>
      </c>
      <c r="DA191" s="115">
        <f>SUM(DA187:DA190)</f>
        <v>-534</v>
      </c>
    </row>
    <row r="192" spans="2:177">
      <c r="B192" s="14"/>
      <c r="AP192" s="62"/>
      <c r="AU192" s="44"/>
      <c r="CZ192" s="115"/>
      <c r="DA192" s="115"/>
    </row>
    <row r="193" spans="2:211">
      <c r="B193" s="14" t="s">
        <v>314</v>
      </c>
      <c r="AP193" s="62"/>
      <c r="AU193" s="44"/>
      <c r="CY193" s="115">
        <f>-220-1609</f>
        <v>-1829</v>
      </c>
      <c r="CZ193" s="115">
        <f>4012+379-1609</f>
        <v>2782</v>
      </c>
      <c r="DA193" s="115">
        <f>3887-3887+870-1609-CZ193-CY193</f>
        <v>-1692</v>
      </c>
    </row>
    <row r="194" spans="2:211">
      <c r="B194" s="14" t="s">
        <v>1574</v>
      </c>
      <c r="AP194" s="62"/>
      <c r="AU194" s="44"/>
      <c r="CY194" s="115">
        <v>-2000</v>
      </c>
      <c r="CZ194" s="115">
        <f>-2000-CY194</f>
        <v>0</v>
      </c>
      <c r="DA194" s="115">
        <f>-2000-CZ194-CY194</f>
        <v>0</v>
      </c>
    </row>
    <row r="195" spans="2:211">
      <c r="B195" s="14" t="s">
        <v>1575</v>
      </c>
      <c r="AP195" s="62"/>
      <c r="AU195" s="44"/>
      <c r="CY195" s="115">
        <v>-2249</v>
      </c>
      <c r="CZ195" s="115">
        <f>-4493-CY195</f>
        <v>-2244</v>
      </c>
      <c r="DA195" s="115">
        <f>-6738-CZ195-CY195</f>
        <v>-2245</v>
      </c>
    </row>
    <row r="196" spans="2:211">
      <c r="B196" s="14" t="s">
        <v>1576</v>
      </c>
      <c r="AP196" s="62"/>
      <c r="AU196" s="44"/>
      <c r="CY196" s="115">
        <v>-501</v>
      </c>
      <c r="CZ196" s="115">
        <f>-347-CY196</f>
        <v>154</v>
      </c>
      <c r="DA196" s="115">
        <f>-342-CZ196-CY196</f>
        <v>5</v>
      </c>
    </row>
    <row r="197" spans="2:211">
      <c r="B197" s="14" t="s">
        <v>1573</v>
      </c>
      <c r="AP197" s="62"/>
      <c r="AU197" s="44"/>
      <c r="CY197" s="115">
        <f>SUM(CY193:CY196)</f>
        <v>-6579</v>
      </c>
      <c r="CZ197" s="115">
        <f>SUM(CZ193:CZ196)</f>
        <v>692</v>
      </c>
      <c r="DA197" s="115">
        <f>SUM(DA193:DA196)</f>
        <v>-3932</v>
      </c>
    </row>
    <row r="198" spans="2:211">
      <c r="B198" s="14" t="s">
        <v>871</v>
      </c>
      <c r="AP198" s="62"/>
      <c r="AU198" s="44"/>
      <c r="CY198" s="115">
        <v>-1</v>
      </c>
      <c r="CZ198" s="115">
        <v>-67</v>
      </c>
      <c r="DA198" s="115">
        <v>-139</v>
      </c>
    </row>
    <row r="199" spans="2:211">
      <c r="B199" s="14" t="s">
        <v>1577</v>
      </c>
      <c r="AP199" s="62"/>
      <c r="AU199" s="44"/>
      <c r="CY199" s="115">
        <f>+CY197+CY185+CY191+CY198</f>
        <v>530</v>
      </c>
      <c r="CZ199" s="115">
        <f>+CZ197+CZ185+CZ191+CZ198</f>
        <v>-2521</v>
      </c>
      <c r="DA199" s="115">
        <f>+DA197+DA185+DA191+DA198</f>
        <v>1369</v>
      </c>
    </row>
    <row r="200" spans="2:211">
      <c r="B200" s="14"/>
      <c r="AP200" s="62"/>
      <c r="AU200" s="44"/>
      <c r="DA200" s="115"/>
    </row>
    <row r="201" spans="2:211">
      <c r="B201" s="14" t="s">
        <v>872</v>
      </c>
      <c r="AP201" s="62"/>
      <c r="AU201" s="44"/>
      <c r="AY201" s="44">
        <f>+AY187+AY185</f>
        <v>2894</v>
      </c>
      <c r="AZ201" s="44">
        <f>+AZ187+AZ185</f>
        <v>4245</v>
      </c>
      <c r="BA201" s="44">
        <f>+BA187+BA185</f>
        <v>3840</v>
      </c>
      <c r="BB201" s="44">
        <f>+BB187+BB185</f>
        <v>-14505</v>
      </c>
      <c r="BC201" s="44">
        <f>+BC187+BC185</f>
        <v>-6665</v>
      </c>
      <c r="BK201" s="65">
        <f>BK187+BK185</f>
        <v>2520</v>
      </c>
      <c r="BL201" s="65">
        <f>BL187+BL185</f>
        <v>3727</v>
      </c>
      <c r="BM201" s="55"/>
      <c r="CY201" s="115">
        <f>+CY185+CY187</f>
        <v>5900</v>
      </c>
      <c r="CZ201" s="115">
        <f>+CZ185+CZ187</f>
        <v>7417</v>
      </c>
      <c r="DA201" s="115">
        <f>+DA185+DA187</f>
        <v>5133</v>
      </c>
    </row>
    <row r="202" spans="2:211">
      <c r="B202" s="14" t="s">
        <v>873</v>
      </c>
      <c r="AP202" s="62"/>
      <c r="AU202" s="44"/>
      <c r="AY202" s="44"/>
      <c r="AZ202" s="44"/>
      <c r="BA202" s="44"/>
      <c r="BB202" s="44"/>
      <c r="BC202" s="44"/>
      <c r="BK202" s="65">
        <v>-782</v>
      </c>
      <c r="DA202" s="115"/>
    </row>
    <row r="203" spans="2:211">
      <c r="B203" s="4" t="s">
        <v>874</v>
      </c>
      <c r="AP203" s="62"/>
      <c r="AU203" s="44">
        <f>AU175-AU185</f>
        <v>1560.8029999999999</v>
      </c>
      <c r="AV203" s="44">
        <f>AV175-AV185</f>
        <v>-618.34599999999955</v>
      </c>
      <c r="AW203" s="44">
        <f>AW175-AW185</f>
        <v>264</v>
      </c>
      <c r="AY203" s="44">
        <f>AY175-AY201</f>
        <v>1395.6499999999996</v>
      </c>
      <c r="AZ203" s="44">
        <f>AZ175-AZ201</f>
        <v>-185.38500000000022</v>
      </c>
      <c r="BA203" s="44">
        <f>BA175-BA201</f>
        <v>-345</v>
      </c>
      <c r="BB203" s="44">
        <f>BB175-BB201</f>
        <v>18377</v>
      </c>
      <c r="BC203" s="44">
        <f>BC175-BC201</f>
        <v>11943</v>
      </c>
    </row>
    <row r="204" spans="2:211">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c r="BH204" s="44"/>
      <c r="BI204" s="44"/>
      <c r="BJ204" s="65"/>
      <c r="BK204" s="65"/>
      <c r="BL204" s="44"/>
      <c r="BM204" s="44"/>
      <c r="BN204" s="44"/>
      <c r="BO204" s="44"/>
      <c r="BP204" s="44"/>
      <c r="BQ204" s="44"/>
      <c r="BR204" s="44"/>
      <c r="BS204" s="115"/>
      <c r="BT204" s="44"/>
      <c r="BU204" s="44"/>
      <c r="BV204" s="44"/>
      <c r="BW204" s="115"/>
      <c r="BX204" s="44"/>
      <c r="BY204" s="115"/>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19"/>
      <c r="DS204" s="19"/>
      <c r="DT204" s="19"/>
      <c r="EK204" s="44">
        <f t="shared" ref="EK204:ET204" si="445">EK126</f>
        <v>15716.264999999999</v>
      </c>
      <c r="EL204" s="44">
        <f t="shared" si="445"/>
        <v>20073</v>
      </c>
      <c r="EM204" s="44">
        <f t="shared" si="445"/>
        <v>19209.05</v>
      </c>
      <c r="EN204" s="44">
        <f t="shared" si="445"/>
        <v>16949.830000000002</v>
      </c>
      <c r="EO204" s="44">
        <f t="shared" si="445"/>
        <v>0</v>
      </c>
      <c r="EP204" s="44">
        <f t="shared" si="445"/>
        <v>0</v>
      </c>
      <c r="EQ204" s="44">
        <f t="shared" si="445"/>
        <v>0</v>
      </c>
      <c r="ER204" s="44">
        <f t="shared" si="445"/>
        <v>0</v>
      </c>
      <c r="ES204" s="44">
        <f t="shared" si="445"/>
        <v>0</v>
      </c>
      <c r="ET204" s="44">
        <f t="shared" si="445"/>
        <v>0</v>
      </c>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c r="HC204" s="19"/>
    </row>
    <row r="205" spans="2:211">
      <c r="B205" s="14" t="s">
        <v>875</v>
      </c>
      <c r="AP205" s="62"/>
      <c r="BA205" s="44">
        <v>75100</v>
      </c>
      <c r="BB205" s="44">
        <f>BC205+2700</f>
        <v>116500</v>
      </c>
      <c r="BC205" s="44">
        <v>113800</v>
      </c>
      <c r="BD205" s="44">
        <f>BC205</f>
        <v>113800</v>
      </c>
      <c r="EL205" s="44">
        <f>BD205</f>
        <v>113800</v>
      </c>
      <c r="EM205" s="44">
        <f>EL205</f>
        <v>113800</v>
      </c>
      <c r="EN205" s="44">
        <f t="shared" ref="EN205:ET205" si="446">EM205</f>
        <v>113800</v>
      </c>
      <c r="EO205" s="44">
        <f t="shared" si="446"/>
        <v>113800</v>
      </c>
      <c r="EP205" s="44">
        <f t="shared" si="446"/>
        <v>113800</v>
      </c>
      <c r="EQ205" s="44">
        <f t="shared" si="446"/>
        <v>113800</v>
      </c>
      <c r="ER205" s="44">
        <f t="shared" si="446"/>
        <v>113800</v>
      </c>
      <c r="ES205" s="44">
        <f t="shared" si="446"/>
        <v>113800</v>
      </c>
      <c r="ET205" s="44">
        <f t="shared" si="446"/>
        <v>113800</v>
      </c>
    </row>
    <row r="206" spans="2:211">
      <c r="B206" s="14" t="s">
        <v>876</v>
      </c>
      <c r="AP206" s="62"/>
      <c r="BA206" s="44">
        <f>BA118*1000/BA205*1000</f>
        <v>42942.743009320904</v>
      </c>
      <c r="BB206" s="44">
        <f>BB118*1000/BB205*1000</f>
        <v>45879.828326180257</v>
      </c>
      <c r="BC206" s="44">
        <f>BC118*1000/BC205*1000</f>
        <v>38444.639718804923</v>
      </c>
      <c r="BD206" s="44">
        <f>BD118*1000/BD205*1000</f>
        <v>41537.785588752202</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47">EL118*1000/EL205*1000</f>
        <v>171001.7574692443</v>
      </c>
      <c r="EM206" s="44">
        <f t="shared" si="447"/>
        <v>170105.44815465729</v>
      </c>
      <c r="EN206" s="44">
        <f t="shared" si="447"/>
        <v>144420.0351493849</v>
      </c>
      <c r="EO206" s="44">
        <f t="shared" si="447"/>
        <v>127311.07205623902</v>
      </c>
      <c r="EP206" s="44">
        <f t="shared" si="447"/>
        <v>0</v>
      </c>
      <c r="EQ206" s="44">
        <f t="shared" si="447"/>
        <v>0</v>
      </c>
      <c r="ER206" s="44">
        <f t="shared" si="447"/>
        <v>0</v>
      </c>
      <c r="ES206" s="44">
        <f t="shared" si="447"/>
        <v>0</v>
      </c>
      <c r="ET206" s="44">
        <f t="shared" si="447"/>
        <v>0</v>
      </c>
      <c r="FU206" s="44"/>
    </row>
    <row r="207" spans="2:211">
      <c r="B207" s="14" t="s">
        <v>795</v>
      </c>
      <c r="AP207" s="62"/>
      <c r="BA207" s="44">
        <f>BA118</f>
        <v>3225</v>
      </c>
      <c r="BB207" s="44">
        <f>BB118</f>
        <v>5345</v>
      </c>
      <c r="BC207" s="44">
        <f>BC118</f>
        <v>4375</v>
      </c>
      <c r="BD207" s="44">
        <f>BD118</f>
        <v>4727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48">EL118</f>
        <v>19460</v>
      </c>
      <c r="EM207" s="44">
        <f t="shared" si="448"/>
        <v>19358</v>
      </c>
      <c r="EN207" s="44">
        <f t="shared" si="448"/>
        <v>16435</v>
      </c>
      <c r="EO207" s="44">
        <f t="shared" si="448"/>
        <v>14488</v>
      </c>
      <c r="EP207" s="44">
        <f t="shared" si="448"/>
        <v>0</v>
      </c>
      <c r="EQ207" s="44">
        <f t="shared" si="448"/>
        <v>0</v>
      </c>
      <c r="ER207" s="44">
        <f t="shared" si="448"/>
        <v>0</v>
      </c>
      <c r="ES207" s="44">
        <f t="shared" si="448"/>
        <v>0</v>
      </c>
      <c r="ET207" s="44">
        <f t="shared" si="448"/>
        <v>0</v>
      </c>
    </row>
    <row r="208" spans="2:211">
      <c r="B208" s="14" t="s">
        <v>877</v>
      </c>
      <c r="AP208" s="62"/>
      <c r="BA208" s="44">
        <f>BA115</f>
        <v>11603</v>
      </c>
      <c r="BB208" s="44">
        <f>BB115</f>
        <v>16520</v>
      </c>
      <c r="BC208" s="44">
        <f>BC115</f>
        <v>17113</v>
      </c>
      <c r="BD208" s="44">
        <f>BD115</f>
        <v>17607</v>
      </c>
      <c r="BE208" s="44"/>
      <c r="BF208" s="44"/>
      <c r="BG208" s="44"/>
      <c r="BH208" s="44"/>
      <c r="BI208" s="44"/>
      <c r="BJ208" s="65"/>
      <c r="BK208" s="65"/>
      <c r="BL208" s="44"/>
      <c r="BM208" s="44"/>
      <c r="BN208" s="44"/>
      <c r="BO208" s="44"/>
      <c r="BP208" s="44"/>
      <c r="BQ208" s="44"/>
      <c r="BR208" s="44"/>
      <c r="BS208" s="115"/>
      <c r="BT208" s="44"/>
      <c r="BU208" s="44"/>
      <c r="BV208" s="44"/>
      <c r="BW208" s="115"/>
      <c r="BX208" s="44"/>
      <c r="BY208" s="115"/>
      <c r="BZ208" s="44"/>
      <c r="CA208" s="44"/>
      <c r="CB208" s="44"/>
      <c r="CC208" s="44"/>
      <c r="CD208" s="44"/>
      <c r="CE208" s="44"/>
      <c r="CF208" s="44"/>
      <c r="CG208" s="44"/>
      <c r="CH208" s="44"/>
      <c r="CI208" s="44"/>
      <c r="CJ208" s="44"/>
      <c r="CK208" s="44"/>
      <c r="CL208" s="44"/>
      <c r="CM208" s="44"/>
      <c r="CN208" s="115"/>
      <c r="CO208" s="115"/>
      <c r="CP208" s="115"/>
      <c r="CQ208" s="115"/>
      <c r="CR208" s="115"/>
      <c r="CS208" s="115"/>
      <c r="CT208" s="115"/>
      <c r="CU208" s="115"/>
      <c r="CV208" s="115"/>
      <c r="CW208" s="115"/>
      <c r="CX208" s="115"/>
      <c r="CY208" s="115"/>
      <c r="CZ208" s="115"/>
      <c r="DA208" s="115"/>
      <c r="DB208" s="115"/>
      <c r="DC208" s="115"/>
      <c r="DD208" s="115"/>
      <c r="DE208" s="115"/>
      <c r="DF208" s="115"/>
      <c r="DG208" s="115"/>
      <c r="DH208" s="115"/>
      <c r="DI208" s="115"/>
      <c r="DJ208" s="115"/>
      <c r="DK208" s="115"/>
      <c r="DL208" s="115"/>
      <c r="DM208" s="115"/>
      <c r="DN208" s="115"/>
      <c r="DO208" s="115"/>
      <c r="DP208" s="44"/>
      <c r="DQ208" s="44"/>
      <c r="DR208" s="44"/>
      <c r="DS208" s="44"/>
      <c r="DT208" s="44"/>
      <c r="DU208" s="44"/>
      <c r="DV208" s="44"/>
      <c r="DW208" s="44"/>
      <c r="DX208" s="44"/>
      <c r="DY208" s="44"/>
      <c r="DZ208" s="44"/>
      <c r="EA208" s="44"/>
      <c r="EB208" s="44"/>
      <c r="EC208" s="44"/>
      <c r="ED208" s="44"/>
      <c r="EE208" s="44"/>
      <c r="EF208" s="44"/>
      <c r="EG208" s="44"/>
      <c r="EH208" s="44"/>
      <c r="EI208" s="44"/>
      <c r="EJ208" s="44"/>
      <c r="EL208" s="44">
        <f t="shared" ref="EL208:ET208" si="449">EL115</f>
        <v>43686</v>
      </c>
      <c r="EM208" s="44">
        <f t="shared" si="449"/>
        <v>41620</v>
      </c>
      <c r="EN208" s="44">
        <f t="shared" si="449"/>
        <v>34396.199999999997</v>
      </c>
      <c r="EO208" s="44">
        <f t="shared" si="449"/>
        <v>51583</v>
      </c>
      <c r="EP208" s="44">
        <f t="shared" si="449"/>
        <v>48441</v>
      </c>
      <c r="EQ208" s="44">
        <f t="shared" si="449"/>
        <v>44307.990000000005</v>
      </c>
      <c r="ER208" s="44">
        <f t="shared" si="449"/>
        <v>38516.736099999995</v>
      </c>
      <c r="ES208" s="44">
        <f t="shared" si="449"/>
        <v>37413.10512700001</v>
      </c>
      <c r="ET208" s="44">
        <f t="shared" si="449"/>
        <v>33456.937077200004</v>
      </c>
    </row>
    <row r="209" spans="2:176">
      <c r="B209" s="14" t="s">
        <v>878</v>
      </c>
      <c r="AP209" s="62"/>
      <c r="BA209" s="55">
        <f>BA208/BA207</f>
        <v>3.597829457364341</v>
      </c>
      <c r="BB209" s="55">
        <f t="shared" ref="BB209:BD209" si="450">BB208/BB207</f>
        <v>3.0907390084190833</v>
      </c>
      <c r="BC209" s="55">
        <f t="shared" si="450"/>
        <v>3.911542857142857</v>
      </c>
      <c r="BD209" s="55">
        <f t="shared" si="450"/>
        <v>3.7247725830336367</v>
      </c>
      <c r="BE209" s="55"/>
      <c r="BF209" s="55"/>
      <c r="BG209" s="55"/>
      <c r="BH209" s="55"/>
      <c r="BI209" s="55"/>
      <c r="BJ209" s="108"/>
      <c r="BK209" s="108"/>
      <c r="BL209" s="55"/>
      <c r="BM209" s="55"/>
      <c r="BN209" s="55"/>
      <c r="BO209" s="55"/>
      <c r="BP209" s="55"/>
      <c r="BQ209" s="55"/>
      <c r="BR209" s="55"/>
      <c r="BS209" s="141"/>
      <c r="BT209" s="55"/>
      <c r="BU209" s="55"/>
      <c r="BV209" s="55"/>
      <c r="BW209" s="141"/>
      <c r="BX209" s="55"/>
      <c r="BY209" s="141"/>
      <c r="BZ209" s="55"/>
      <c r="CA209" s="55"/>
      <c r="CB209" s="55"/>
      <c r="CC209" s="55"/>
      <c r="CD209" s="55"/>
      <c r="CE209" s="55"/>
      <c r="CF209" s="55"/>
      <c r="CG209" s="55"/>
      <c r="CH209" s="55"/>
      <c r="CI209" s="55"/>
      <c r="CJ209" s="55"/>
      <c r="CK209" s="55"/>
      <c r="CL209" s="55"/>
      <c r="CM209" s="55"/>
      <c r="CN209" s="141"/>
      <c r="CO209" s="141"/>
      <c r="CP209" s="141"/>
      <c r="CQ209" s="141"/>
      <c r="CR209" s="141"/>
      <c r="CS209" s="141"/>
      <c r="CT209" s="141"/>
      <c r="CU209" s="141"/>
      <c r="CV209" s="141"/>
      <c r="CW209" s="141"/>
      <c r="CX209" s="141"/>
      <c r="CY209" s="141"/>
      <c r="CZ209" s="141"/>
      <c r="DA209" s="141"/>
      <c r="DB209" s="141"/>
      <c r="DC209" s="141"/>
      <c r="DD209" s="141"/>
      <c r="DE209" s="141"/>
      <c r="DF209" s="141"/>
      <c r="DG209" s="141"/>
      <c r="DH209" s="141"/>
      <c r="DI209" s="141"/>
      <c r="DJ209" s="141"/>
      <c r="DK209" s="141"/>
      <c r="DL209" s="141"/>
      <c r="DM209" s="141"/>
      <c r="DN209" s="141"/>
      <c r="DO209" s="141"/>
      <c r="DP209" s="55"/>
      <c r="DQ209" s="55"/>
      <c r="DR209" s="55"/>
      <c r="DS209" s="55"/>
      <c r="DT209" s="55"/>
      <c r="DU209" s="55"/>
      <c r="DV209" s="55"/>
      <c r="DW209" s="55"/>
      <c r="DX209" s="55"/>
      <c r="DY209" s="55"/>
      <c r="DZ209" s="55"/>
      <c r="EA209" s="55"/>
      <c r="EB209" s="55"/>
      <c r="EC209" s="55"/>
      <c r="ED209" s="55"/>
      <c r="EE209" s="55"/>
      <c r="EF209" s="55"/>
      <c r="EG209" s="55"/>
      <c r="EH209" s="55"/>
      <c r="EI209" s="55"/>
      <c r="EJ209" s="55"/>
      <c r="EK209" s="55"/>
      <c r="EL209" s="55">
        <f>EL208/EL207</f>
        <v>2.2449126413155192</v>
      </c>
      <c r="EM209" s="55">
        <f t="shared" ref="EM209:ES209" si="451">EM208/EM207</f>
        <v>2.1500154974687469</v>
      </c>
      <c r="EN209" s="55">
        <f t="shared" si="451"/>
        <v>2.0928627928202008</v>
      </c>
      <c r="EO209" s="55">
        <f t="shared" si="451"/>
        <v>3.5603948094975153</v>
      </c>
      <c r="EP209" s="55" t="e">
        <f t="shared" si="451"/>
        <v>#DIV/0!</v>
      </c>
      <c r="EQ209" s="55" t="e">
        <f t="shared" si="451"/>
        <v>#DIV/0!</v>
      </c>
      <c r="ER209" s="55" t="e">
        <f t="shared" si="451"/>
        <v>#DIV/0!</v>
      </c>
      <c r="ES209" s="55" t="e">
        <f t="shared" si="451"/>
        <v>#DIV/0!</v>
      </c>
      <c r="ET209" s="55" t="e">
        <f>ET208/ET207</f>
        <v>#DIV/0!</v>
      </c>
      <c r="EU209" s="55"/>
      <c r="EV209" s="55"/>
      <c r="EW209" s="55"/>
      <c r="EX209" s="55"/>
      <c r="EY209" s="55"/>
      <c r="EZ209" s="55"/>
      <c r="FA209" s="55"/>
      <c r="FB209" s="55"/>
      <c r="FC209" s="55"/>
      <c r="FD209" s="55"/>
      <c r="FE209" s="55"/>
      <c r="FF209" s="55"/>
      <c r="FG209" s="55"/>
      <c r="FH209" s="55"/>
      <c r="FI209" s="55"/>
      <c r="FJ209" s="55"/>
      <c r="FK209" s="55"/>
      <c r="FL209" s="55"/>
      <c r="FM209" s="55"/>
      <c r="FN209" s="55"/>
      <c r="FO209" s="55"/>
      <c r="FP209" s="55"/>
      <c r="FQ209" s="97"/>
      <c r="FR209" s="55"/>
      <c r="FS209" s="98"/>
      <c r="FT209" s="55"/>
    </row>
    <row r="210" spans="2:176">
      <c r="B210" s="14" t="s">
        <v>879</v>
      </c>
      <c r="AP210" s="62"/>
      <c r="BA210" s="101">
        <f>BA208/BA205*1000</f>
        <v>154.50066577896138</v>
      </c>
      <c r="BB210" s="101">
        <f t="shared" ref="BB210:BD210" si="452">BB208/BB205*1000</f>
        <v>141.80257510729612</v>
      </c>
      <c r="BC210" s="101">
        <f t="shared" si="452"/>
        <v>150.37785588752197</v>
      </c>
      <c r="BD210" s="101">
        <f t="shared" si="452"/>
        <v>154.7188049209139</v>
      </c>
    </row>
    <row r="212" spans="2:176">
      <c r="B212" s="14" t="s">
        <v>880</v>
      </c>
      <c r="AE212" s="44"/>
      <c r="AF212" s="44"/>
      <c r="AG212" s="44"/>
      <c r="AH212" s="44"/>
      <c r="AK212" s="44">
        <v>12189</v>
      </c>
      <c r="AL212" s="44">
        <v>13592</v>
      </c>
      <c r="AM212" s="44">
        <v>12660</v>
      </c>
      <c r="AN212" s="44">
        <v>11741</v>
      </c>
      <c r="AO212" s="44">
        <v>12280</v>
      </c>
      <c r="AP212" s="44">
        <v>12603</v>
      </c>
      <c r="AQ212" s="44">
        <v>12474</v>
      </c>
      <c r="AR212" s="44">
        <v>11084</v>
      </c>
      <c r="AS212" s="44">
        <v>11950</v>
      </c>
      <c r="AT212" s="44">
        <v>12990</v>
      </c>
      <c r="AU212" s="44">
        <v>11796</v>
      </c>
      <c r="AV212" s="44">
        <v>12075</v>
      </c>
      <c r="AW212" s="44">
        <v>12159</v>
      </c>
      <c r="AX212" s="44">
        <v>12311</v>
      </c>
      <c r="AY212" s="44">
        <v>10845</v>
      </c>
      <c r="AZ212" s="44">
        <v>10966</v>
      </c>
      <c r="BA212" s="44">
        <v>11603</v>
      </c>
      <c r="BB212" s="44">
        <v>16520</v>
      </c>
      <c r="BC212" s="44">
        <v>16750</v>
      </c>
      <c r="BD212" s="44">
        <v>16707</v>
      </c>
      <c r="BE212" s="44">
        <v>16674</v>
      </c>
      <c r="BF212" s="44">
        <v>16970</v>
      </c>
      <c r="BG212" s="44">
        <v>16751</v>
      </c>
      <c r="BH212" s="44">
        <v>16950</v>
      </c>
      <c r="BI212" s="44">
        <v>16194</v>
      </c>
      <c r="BJ212" s="65"/>
      <c r="BK212" s="65">
        <v>15460</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v>47546.93</v>
      </c>
      <c r="EJ212" s="45">
        <v>48296</v>
      </c>
      <c r="EK212" s="45">
        <v>49934</v>
      </c>
      <c r="EL212" s="45">
        <v>67279</v>
      </c>
      <c r="EM212" s="45">
        <v>66210</v>
      </c>
      <c r="EN212" s="45">
        <v>62514</v>
      </c>
      <c r="EO212" s="44">
        <v>61732</v>
      </c>
      <c r="EP212" s="44">
        <v>61614</v>
      </c>
      <c r="EQ212" s="44">
        <v>61332</v>
      </c>
    </row>
    <row r="213" spans="2:176">
      <c r="B213" s="4" t="s">
        <v>874</v>
      </c>
      <c r="AE213" s="44"/>
      <c r="AF213" s="44"/>
      <c r="AG213" s="44"/>
      <c r="AH213" s="44"/>
      <c r="AK213" s="44">
        <f t="shared" ref="AK213:BF213" si="453">AK115-AK212</f>
        <v>393.10000000000036</v>
      </c>
      <c r="AL213" s="44">
        <f t="shared" si="453"/>
        <v>400.79999999999927</v>
      </c>
      <c r="AM213" s="44">
        <f t="shared" si="453"/>
        <v>431.60000000000036</v>
      </c>
      <c r="AN213" s="44">
        <f t="shared" si="453"/>
        <v>518.20000000000073</v>
      </c>
      <c r="AO213" s="44">
        <f t="shared" si="453"/>
        <v>509.79999999999927</v>
      </c>
      <c r="AP213" s="44">
        <f t="shared" si="453"/>
        <v>501.70000000000073</v>
      </c>
      <c r="AQ213" s="44">
        <f t="shared" si="453"/>
        <v>0</v>
      </c>
      <c r="AR213" s="44">
        <f t="shared" si="453"/>
        <v>0</v>
      </c>
      <c r="AS213" s="44">
        <f t="shared" si="453"/>
        <v>0</v>
      </c>
      <c r="AT213" s="44">
        <f t="shared" si="453"/>
        <v>0</v>
      </c>
      <c r="AU213" s="44">
        <f t="shared" si="453"/>
        <v>705.80299999999988</v>
      </c>
      <c r="AV213" s="44">
        <f t="shared" si="453"/>
        <v>690.65400000000045</v>
      </c>
      <c r="AW213" s="44">
        <f t="shared" si="453"/>
        <v>0</v>
      </c>
      <c r="AX213" s="44">
        <f t="shared" si="453"/>
        <v>0</v>
      </c>
      <c r="AY213" s="44">
        <f t="shared" si="453"/>
        <v>754.64999999999964</v>
      </c>
      <c r="AZ213" s="44">
        <f t="shared" si="453"/>
        <v>783.61499999999978</v>
      </c>
      <c r="BA213" s="44">
        <f t="shared" si="453"/>
        <v>0</v>
      </c>
      <c r="BB213" s="44">
        <f t="shared" si="453"/>
        <v>0</v>
      </c>
      <c r="BC213" s="44">
        <f t="shared" si="453"/>
        <v>363</v>
      </c>
      <c r="BD213" s="44">
        <f t="shared" si="453"/>
        <v>900</v>
      </c>
      <c r="BE213" s="44">
        <f t="shared" si="453"/>
        <v>55</v>
      </c>
      <c r="BF213" s="44">
        <f t="shared" si="453"/>
        <v>1320</v>
      </c>
      <c r="BG213" s="44"/>
      <c r="BH213" s="44"/>
      <c r="BI213" s="44"/>
      <c r="BJ213" s="65"/>
      <c r="BK213" s="44">
        <f>BK115-BK212</f>
        <v>-31</v>
      </c>
      <c r="BL213" s="44"/>
      <c r="BM213" s="44"/>
      <c r="BN213" s="44"/>
      <c r="BO213" s="44"/>
      <c r="BP213" s="44"/>
      <c r="BQ213" s="44"/>
      <c r="BR213" s="44"/>
      <c r="BS213" s="115"/>
      <c r="BT213" s="44"/>
      <c r="BU213" s="44"/>
      <c r="BV213" s="44"/>
      <c r="BW213" s="115"/>
      <c r="BX213" s="44"/>
      <c r="BY213" s="115"/>
      <c r="BZ213" s="44"/>
      <c r="CA213" s="44"/>
      <c r="CB213" s="44"/>
      <c r="CC213" s="44"/>
      <c r="CD213" s="44"/>
      <c r="CE213" s="44"/>
      <c r="CF213" s="44"/>
      <c r="CG213" s="44"/>
      <c r="CH213" s="44"/>
      <c r="CI213" s="44"/>
      <c r="CJ213" s="44"/>
      <c r="CK213" s="44"/>
      <c r="CL213" s="44"/>
      <c r="CM213" s="44"/>
      <c r="CN213" s="115"/>
      <c r="CO213" s="115"/>
      <c r="CP213" s="115"/>
      <c r="CQ213" s="115"/>
      <c r="CR213" s="115"/>
      <c r="CS213" s="115"/>
      <c r="CT213" s="115"/>
      <c r="CU213" s="115"/>
      <c r="CV213" s="115"/>
      <c r="CW213" s="115"/>
      <c r="CX213" s="115"/>
      <c r="CY213" s="115"/>
      <c r="CZ213" s="115"/>
      <c r="DA213" s="115"/>
      <c r="DB213" s="115"/>
      <c r="DC213" s="115"/>
      <c r="DD213" s="115"/>
      <c r="DE213" s="115"/>
      <c r="DF213" s="115"/>
      <c r="DG213" s="115"/>
      <c r="DH213" s="115"/>
      <c r="DI213" s="115"/>
      <c r="DJ213" s="115"/>
      <c r="DK213" s="115"/>
      <c r="DL213" s="115"/>
      <c r="DM213" s="115"/>
      <c r="DN213" s="115"/>
      <c r="DO213" s="115"/>
      <c r="DP213" s="44"/>
      <c r="DQ213" s="44"/>
      <c r="DU213" s="44"/>
      <c r="DV213" s="44"/>
      <c r="DW213" s="44"/>
      <c r="DX213" s="44"/>
      <c r="DY213" s="44"/>
      <c r="DZ213" s="44"/>
      <c r="EA213" s="44"/>
      <c r="EB213" s="44"/>
      <c r="EC213" s="44"/>
      <c r="ED213" s="44"/>
      <c r="EE213" s="44"/>
      <c r="EF213" s="44"/>
      <c r="EG213" s="44"/>
      <c r="EH213" s="48"/>
      <c r="EI213" s="45">
        <f t="shared" ref="EI213:EN213" si="454">EI115-EI212</f>
        <v>-14077.510000000002</v>
      </c>
      <c r="EJ213" s="45">
        <f t="shared" si="454"/>
        <v>-20343</v>
      </c>
      <c r="EK213" s="45">
        <f t="shared" si="454"/>
        <v>-13155</v>
      </c>
      <c r="EL213" s="45">
        <f t="shared" si="454"/>
        <v>-23593</v>
      </c>
      <c r="EM213" s="45">
        <f t="shared" si="454"/>
        <v>-24590</v>
      </c>
      <c r="EN213" s="45">
        <f t="shared" si="454"/>
        <v>-28117.800000000003</v>
      </c>
    </row>
    <row r="214" spans="2:176">
      <c r="B214" s="4" t="s">
        <v>881</v>
      </c>
      <c r="AP214" s="62"/>
      <c r="AR214" s="37">
        <v>0.42</v>
      </c>
      <c r="AS214" s="37">
        <v>0.57999999999999996</v>
      </c>
      <c r="AT214" s="37">
        <v>0.52</v>
      </c>
      <c r="AU214" s="37">
        <v>0.61</v>
      </c>
      <c r="AV214" s="37">
        <v>0.55000000000000004</v>
      </c>
      <c r="AW214" s="37">
        <v>0.62</v>
      </c>
      <c r="AX214" s="37">
        <v>0.65</v>
      </c>
      <c r="AY214" s="37">
        <v>0.54</v>
      </c>
      <c r="AZ214" s="37">
        <v>0.48</v>
      </c>
      <c r="BA214" s="37">
        <v>0.51</v>
      </c>
      <c r="BB214" s="37">
        <v>0.49</v>
      </c>
      <c r="BC214" s="55">
        <v>0.6</v>
      </c>
      <c r="BD214" s="37">
        <v>0.52</v>
      </c>
      <c r="BK214" s="69">
        <v>0.57999999999999996</v>
      </c>
      <c r="EI214" s="37">
        <v>2.12</v>
      </c>
      <c r="EJ214" s="37">
        <v>2.42</v>
      </c>
      <c r="EK214" s="37">
        <v>2.02</v>
      </c>
      <c r="EL214" s="37">
        <v>2.61</v>
      </c>
      <c r="EM214" s="55">
        <v>2.4300000000000002</v>
      </c>
      <c r="EN214" s="37"/>
      <c r="EO214" s="37"/>
    </row>
    <row r="215" spans="2:176">
      <c r="B215" s="4" t="s">
        <v>874</v>
      </c>
      <c r="AP215" s="62"/>
      <c r="AR215" s="99">
        <f t="shared" ref="AR215:BC215" si="455">AR127-AR214</f>
        <v>-2.6437768240343329E-2</v>
      </c>
      <c r="AS215" s="99">
        <f t="shared" si="455"/>
        <v>-9.4574992747309405E-4</v>
      </c>
      <c r="AT215" s="99">
        <f t="shared" si="455"/>
        <v>8.7102473498232857E-3</v>
      </c>
      <c r="AU215" s="99">
        <f t="shared" si="455"/>
        <v>0.1045523513753327</v>
      </c>
      <c r="AV215" s="99">
        <f t="shared" si="455"/>
        <v>0.10555038529934802</v>
      </c>
      <c r="AW215" s="99">
        <f t="shared" si="455"/>
        <v>5.890736342042735E-3</v>
      </c>
      <c r="AX215" s="99">
        <f t="shared" si="455"/>
        <v>7.9611218281644414E-3</v>
      </c>
      <c r="AY215" s="99">
        <f t="shared" si="455"/>
        <v>9.5221383088997413E-2</v>
      </c>
      <c r="AZ215" s="99">
        <f t="shared" si="455"/>
        <v>0.1212462973933649</v>
      </c>
      <c r="BA215" s="99">
        <f t="shared" si="455"/>
        <v>6.8589174800355313E-3</v>
      </c>
      <c r="BB215" s="99">
        <f t="shared" si="455"/>
        <v>3.4369822862240218E-3</v>
      </c>
      <c r="BC215" s="99">
        <f t="shared" si="455"/>
        <v>5.4351599305727749E-2</v>
      </c>
      <c r="BK215" s="99">
        <f>BK127-BK214</f>
        <v>1.8052118978678644E-2</v>
      </c>
      <c r="EJ215" s="100">
        <f>EJ127-EJ214</f>
        <v>0.39999999999999991</v>
      </c>
      <c r="EK215" s="100">
        <f>EK127-EK214</f>
        <v>0.2200000000000002</v>
      </c>
      <c r="EL215" s="37"/>
      <c r="EM215" s="55"/>
      <c r="EN215" s="37"/>
      <c r="EO215" s="37"/>
    </row>
    <row r="216" spans="2:176">
      <c r="AP216" s="62"/>
      <c r="AX216" s="99"/>
      <c r="AY216" s="99"/>
      <c r="AZ216" s="99"/>
      <c r="BA216" s="99"/>
      <c r="BB216" s="99"/>
      <c r="BC216" s="99"/>
      <c r="EK216" s="37"/>
      <c r="EL216" s="37"/>
      <c r="EM216" s="55"/>
      <c r="EN216" s="37"/>
      <c r="EO216"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c r="C8" s="38" t="s">
        <v>1420</v>
      </c>
    </row>
    <row r="11" spans="1:3">
      <c r="C11" s="38" t="s">
        <v>1441</v>
      </c>
    </row>
    <row r="12" spans="1:3">
      <c r="C12" s="102" t="s">
        <v>1442</v>
      </c>
    </row>
    <row r="13" spans="1:3">
      <c r="C13" s="102" t="s">
        <v>1444</v>
      </c>
    </row>
    <row r="14" spans="1:3">
      <c r="C14" s="102" t="s">
        <v>1440</v>
      </c>
    </row>
    <row r="15" spans="1:3">
      <c r="C15" s="102" t="s">
        <v>1443</v>
      </c>
    </row>
    <row r="17" spans="3:3">
      <c r="C17" s="38" t="s">
        <v>1445</v>
      </c>
    </row>
    <row r="18" spans="3:3">
      <c r="C18" s="102" t="s">
        <v>1446</v>
      </c>
    </row>
    <row r="20" spans="3: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2025-04-04T13:15:04Z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