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olive\Documents\GitHub\DTU-projekter\Mekanisk produktanalyse\Projekt 3\"/>
    </mc:Choice>
  </mc:AlternateContent>
  <xr:revisionPtr revIDLastSave="0" documentId="13_ncr:1_{0DDCF3AE-C244-4F6E-BD71-8F591E9EFD1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ålinger" sheetId="1" r:id="rId1"/>
    <sheet name="Beregning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04" i="1" l="1" a="1"/>
  <c r="Q104" i="1" s="1"/>
  <c r="U101" i="1" a="1"/>
  <c r="U101" i="1" s="1"/>
  <c r="D125" i="1" a="1"/>
  <c r="D125" i="1" s="1"/>
  <c r="CE28" i="1"/>
  <c r="CF28" i="1"/>
  <c r="CG28" i="1"/>
  <c r="CH28" i="1" s="1"/>
  <c r="CI28" i="1" s="1"/>
  <c r="CH24" i="1"/>
  <c r="CI24" i="1" s="1"/>
  <c r="CG22" i="1"/>
  <c r="CH22" i="1" s="1"/>
  <c r="CI22" i="1" s="1"/>
  <c r="CG23" i="1"/>
  <c r="CH23" i="1" s="1"/>
  <c r="CI23" i="1" s="1"/>
  <c r="CG24" i="1"/>
  <c r="CG25" i="1"/>
  <c r="CH25" i="1" s="1"/>
  <c r="CI25" i="1" s="1"/>
  <c r="CG26" i="1"/>
  <c r="CH26" i="1" s="1"/>
  <c r="CI26" i="1" s="1"/>
  <c r="CG27" i="1"/>
  <c r="CH27" i="1" s="1"/>
  <c r="CI27" i="1" s="1"/>
  <c r="CF22" i="1"/>
  <c r="CF23" i="1"/>
  <c r="CF24" i="1"/>
  <c r="CF25" i="1"/>
  <c r="CF26" i="1"/>
  <c r="CF27" i="1"/>
  <c r="CE22" i="1"/>
  <c r="CE23" i="1"/>
  <c r="CE24" i="1"/>
  <c r="CE25" i="1"/>
  <c r="CE26" i="1"/>
  <c r="CE27" i="1"/>
  <c r="CG21" i="1"/>
  <c r="CH21" i="1" s="1"/>
  <c r="CI21" i="1" s="1"/>
  <c r="CF21" i="1"/>
  <c r="CE21" i="1"/>
  <c r="CG12" i="1"/>
  <c r="CH12" i="1" s="1"/>
  <c r="CI12" i="1" s="1"/>
  <c r="CF12" i="1"/>
  <c r="CE12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S36" i="1" s="1"/>
  <c r="BU36" i="1" s="1"/>
  <c r="BR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V36" i="1" s="1"/>
  <c r="BP5" i="1"/>
  <c r="BO6" i="1"/>
  <c r="BS6" i="1" s="1"/>
  <c r="BU6" i="1" s="1"/>
  <c r="BS5" i="1"/>
  <c r="BU5" i="1" s="1"/>
  <c r="BL36" i="1"/>
  <c r="BL5" i="1"/>
  <c r="BI36" i="1"/>
  <c r="BJ36" i="1" s="1"/>
  <c r="BK36" i="1" s="1"/>
  <c r="BM36" i="1" s="1"/>
  <c r="BI5" i="1"/>
  <c r="BJ5" i="1" s="1"/>
  <c r="BK5" i="1" s="1"/>
  <c r="BM5" i="1" s="1"/>
  <c r="AY44" i="1"/>
  <c r="BH36" i="1"/>
  <c r="BH5" i="1"/>
  <c r="AX82" i="1"/>
  <c r="AY82" i="1" s="1"/>
  <c r="AZ82" i="1" s="1"/>
  <c r="BA82" i="1" s="1"/>
  <c r="BB82" i="1" s="1"/>
  <c r="AX44" i="1"/>
  <c r="AW82" i="1"/>
  <c r="AW44" i="1"/>
  <c r="AV82" i="1"/>
  <c r="AV44" i="1"/>
  <c r="BF36" i="1"/>
  <c r="BF5" i="1"/>
  <c r="BE36" i="1"/>
  <c r="BE5" i="1"/>
  <c r="AU45" i="1"/>
  <c r="AX45" i="1" s="1"/>
  <c r="BD6" i="1"/>
  <c r="BH6" i="1" s="1"/>
  <c r="BI6" i="1" s="1"/>
  <c r="BJ6" i="1" s="1"/>
  <c r="BK6" i="1" s="1"/>
  <c r="O109" i="1"/>
  <c r="O107" i="1"/>
  <c r="O110" i="1" s="1"/>
  <c r="O106" i="1"/>
  <c r="O96" i="1"/>
  <c r="O99" i="1" s="1"/>
  <c r="BM6" i="1" l="1"/>
  <c r="BV5" i="1"/>
  <c r="BW5" i="1" s="1"/>
  <c r="BW36" i="1"/>
  <c r="BO7" i="1"/>
  <c r="AZ44" i="1"/>
  <c r="BA44" i="1" s="1"/>
  <c r="BB44" i="1" s="1"/>
  <c r="BG36" i="1"/>
  <c r="AW45" i="1"/>
  <c r="BG5" i="1"/>
  <c r="BF6" i="1"/>
  <c r="BE6" i="1"/>
  <c r="BL6" i="1" s="1"/>
  <c r="AV45" i="1"/>
  <c r="BC44" i="1"/>
  <c r="BC82" i="1"/>
  <c r="BD82" i="1" s="1"/>
  <c r="AY45" i="1"/>
  <c r="AZ45" i="1" s="1"/>
  <c r="BA45" i="1" s="1"/>
  <c r="BB45" i="1" s="1"/>
  <c r="AU46" i="1"/>
  <c r="BD7" i="1"/>
  <c r="BH7" i="1" s="1"/>
  <c r="BI7" i="1" s="1"/>
  <c r="BJ7" i="1" s="1"/>
  <c r="BK7" i="1" s="1"/>
  <c r="BO8" i="1" l="1"/>
  <c r="BS7" i="1"/>
  <c r="BU7" i="1" s="1"/>
  <c r="BV6" i="1"/>
  <c r="BW6" i="1" s="1"/>
  <c r="BD44" i="1"/>
  <c r="BG6" i="1"/>
  <c r="BC45" i="1"/>
  <c r="BD45" i="1"/>
  <c r="AX46" i="1"/>
  <c r="AY46" i="1" s="1"/>
  <c r="AZ46" i="1" s="1"/>
  <c r="BA46" i="1" s="1"/>
  <c r="BB46" i="1" s="1"/>
  <c r="AV46" i="1"/>
  <c r="AW46" i="1"/>
  <c r="BF7" i="1"/>
  <c r="BE7" i="1"/>
  <c r="BL7" i="1" s="1"/>
  <c r="BM7" i="1" s="1"/>
  <c r="AU47" i="1"/>
  <c r="BD8" i="1"/>
  <c r="BH8" i="1" s="1"/>
  <c r="BI8" i="1" s="1"/>
  <c r="BJ8" i="1" s="1"/>
  <c r="BK8" i="1" s="1"/>
  <c r="BS8" i="1" l="1"/>
  <c r="BU8" i="1" s="1"/>
  <c r="BO9" i="1"/>
  <c r="BV7" i="1"/>
  <c r="BW7" i="1" s="1"/>
  <c r="BG7" i="1"/>
  <c r="AW47" i="1"/>
  <c r="AX47" i="1"/>
  <c r="AY47" i="1" s="1"/>
  <c r="AZ47" i="1" s="1"/>
  <c r="BA47" i="1" s="1"/>
  <c r="BB47" i="1" s="1"/>
  <c r="AV47" i="1"/>
  <c r="BC47" i="1" s="1"/>
  <c r="BF8" i="1"/>
  <c r="BE8" i="1"/>
  <c r="BL8" i="1" s="1"/>
  <c r="BM8" i="1" s="1"/>
  <c r="BC46" i="1"/>
  <c r="BD46" i="1" s="1"/>
  <c r="AU48" i="1"/>
  <c r="BD9" i="1"/>
  <c r="BH9" i="1" s="1"/>
  <c r="BI9" i="1" s="1"/>
  <c r="BJ9" i="1" s="1"/>
  <c r="BK9" i="1" s="1"/>
  <c r="BV8" i="1" l="1"/>
  <c r="BW8" i="1" s="1"/>
  <c r="BS9" i="1"/>
  <c r="BU9" i="1" s="1"/>
  <c r="BO10" i="1"/>
  <c r="BD47" i="1"/>
  <c r="BG8" i="1"/>
  <c r="BF9" i="1"/>
  <c r="BE9" i="1"/>
  <c r="AV48" i="1"/>
  <c r="AW48" i="1"/>
  <c r="AX48" i="1"/>
  <c r="AY48" i="1" s="1"/>
  <c r="AZ48" i="1" s="1"/>
  <c r="BA48" i="1" s="1"/>
  <c r="BB48" i="1" s="1"/>
  <c r="AU49" i="1"/>
  <c r="BD10" i="1"/>
  <c r="BH10" i="1" s="1"/>
  <c r="BI10" i="1" s="1"/>
  <c r="BJ10" i="1" s="1"/>
  <c r="BK10" i="1" s="1"/>
  <c r="BG9" i="1" l="1"/>
  <c r="BL9" i="1"/>
  <c r="BM9" i="1" s="1"/>
  <c r="BO11" i="1"/>
  <c r="BS10" i="1"/>
  <c r="BU10" i="1" s="1"/>
  <c r="BV9" i="1"/>
  <c r="BW9" i="1"/>
  <c r="BC48" i="1"/>
  <c r="BD48" i="1" s="1"/>
  <c r="AV49" i="1"/>
  <c r="AW49" i="1"/>
  <c r="AX49" i="1"/>
  <c r="AY49" i="1" s="1"/>
  <c r="AZ49" i="1" s="1"/>
  <c r="BA49" i="1" s="1"/>
  <c r="BB49" i="1" s="1"/>
  <c r="BF10" i="1"/>
  <c r="BE10" i="1"/>
  <c r="BL10" i="1" s="1"/>
  <c r="BM10" i="1" s="1"/>
  <c r="AU50" i="1"/>
  <c r="BD11" i="1"/>
  <c r="BH11" i="1" s="1"/>
  <c r="BI11" i="1" s="1"/>
  <c r="BJ11" i="1" s="1"/>
  <c r="BK11" i="1" s="1"/>
  <c r="BV10" i="1" l="1"/>
  <c r="BW10" i="1" s="1"/>
  <c r="BS11" i="1"/>
  <c r="BU11" i="1" s="1"/>
  <c r="BO12" i="1"/>
  <c r="BG10" i="1"/>
  <c r="AW50" i="1"/>
  <c r="AV50" i="1"/>
  <c r="AX50" i="1"/>
  <c r="AY50" i="1" s="1"/>
  <c r="AZ50" i="1" s="1"/>
  <c r="BA50" i="1" s="1"/>
  <c r="BB50" i="1" s="1"/>
  <c r="BF11" i="1"/>
  <c r="BE11" i="1"/>
  <c r="AU51" i="1"/>
  <c r="BC49" i="1"/>
  <c r="BD49" i="1" s="1"/>
  <c r="BD12" i="1"/>
  <c r="BH12" i="1" s="1"/>
  <c r="BI12" i="1" s="1"/>
  <c r="BJ12" i="1" s="1"/>
  <c r="BK12" i="1" s="1"/>
  <c r="BM12" i="1" l="1"/>
  <c r="BG11" i="1"/>
  <c r="BL11" i="1"/>
  <c r="BM11" i="1" s="1"/>
  <c r="BV11" i="1"/>
  <c r="BW11" i="1" s="1"/>
  <c r="BS12" i="1"/>
  <c r="BU12" i="1" s="1"/>
  <c r="BO13" i="1"/>
  <c r="BF12" i="1"/>
  <c r="BE12" i="1"/>
  <c r="BL12" i="1" s="1"/>
  <c r="AW51" i="1"/>
  <c r="AV51" i="1"/>
  <c r="AX51" i="1"/>
  <c r="AY51" i="1" s="1"/>
  <c r="AZ51" i="1" s="1"/>
  <c r="BA51" i="1" s="1"/>
  <c r="BB51" i="1" s="1"/>
  <c r="AU52" i="1"/>
  <c r="BC50" i="1"/>
  <c r="BD50" i="1" s="1"/>
  <c r="BD13" i="1"/>
  <c r="BH13" i="1" s="1"/>
  <c r="BI13" i="1" s="1"/>
  <c r="BJ13" i="1" s="1"/>
  <c r="BK13" i="1" s="1"/>
  <c r="BS13" i="1" l="1"/>
  <c r="BU13" i="1" s="1"/>
  <c r="BO14" i="1"/>
  <c r="BV12" i="1"/>
  <c r="BW12" i="1" s="1"/>
  <c r="BG12" i="1"/>
  <c r="BE13" i="1"/>
  <c r="BF13" i="1"/>
  <c r="BG13" i="1" s="1"/>
  <c r="AV52" i="1"/>
  <c r="AX52" i="1"/>
  <c r="AY52" i="1" s="1"/>
  <c r="AZ52" i="1" s="1"/>
  <c r="BA52" i="1" s="1"/>
  <c r="BB52" i="1" s="1"/>
  <c r="AW52" i="1"/>
  <c r="AU53" i="1"/>
  <c r="BC51" i="1"/>
  <c r="BD51" i="1" s="1"/>
  <c r="BD14" i="1"/>
  <c r="BH14" i="1" s="1"/>
  <c r="BI14" i="1" s="1"/>
  <c r="BJ14" i="1" s="1"/>
  <c r="BK14" i="1" s="1"/>
  <c r="BL13" i="1" l="1"/>
  <c r="BM13" i="1" s="1"/>
  <c r="BV13" i="1"/>
  <c r="BW13" i="1" s="1"/>
  <c r="BO15" i="1"/>
  <c r="BS14" i="1"/>
  <c r="BU14" i="1" s="1"/>
  <c r="BE14" i="1"/>
  <c r="BF14" i="1"/>
  <c r="BG14" i="1" s="1"/>
  <c r="AV53" i="1"/>
  <c r="AW53" i="1"/>
  <c r="AX53" i="1"/>
  <c r="AY53" i="1" s="1"/>
  <c r="AZ53" i="1" s="1"/>
  <c r="BA53" i="1" s="1"/>
  <c r="BB53" i="1" s="1"/>
  <c r="AU54" i="1"/>
  <c r="BC52" i="1"/>
  <c r="BD52" i="1" s="1"/>
  <c r="BD15" i="1"/>
  <c r="BH15" i="1" s="1"/>
  <c r="BI15" i="1" s="1"/>
  <c r="BJ15" i="1" s="1"/>
  <c r="BK15" i="1" s="1"/>
  <c r="BL14" i="1" l="1"/>
  <c r="BM14" i="1" s="1"/>
  <c r="BV14" i="1"/>
  <c r="BW14" i="1" s="1"/>
  <c r="BO16" i="1"/>
  <c r="BS15" i="1"/>
  <c r="BU15" i="1" s="1"/>
  <c r="AX54" i="1"/>
  <c r="AV54" i="1"/>
  <c r="AW54" i="1"/>
  <c r="BE15" i="1"/>
  <c r="BF15" i="1"/>
  <c r="AU55" i="1"/>
  <c r="AY54" i="1"/>
  <c r="AZ54" i="1" s="1"/>
  <c r="BA54" i="1" s="1"/>
  <c r="BB54" i="1" s="1"/>
  <c r="BC53" i="1"/>
  <c r="BD53" i="1" s="1"/>
  <c r="BD16" i="1"/>
  <c r="BH16" i="1" s="1"/>
  <c r="BI16" i="1" s="1"/>
  <c r="BJ16" i="1" s="1"/>
  <c r="BK16" i="1" s="1"/>
  <c r="BL15" i="1" l="1"/>
  <c r="BM15" i="1" s="1"/>
  <c r="BO17" i="1"/>
  <c r="BS16" i="1"/>
  <c r="BU16" i="1" s="1"/>
  <c r="BV15" i="1"/>
  <c r="BW15" i="1" s="1"/>
  <c r="BG15" i="1"/>
  <c r="AW55" i="1"/>
  <c r="AX55" i="1"/>
  <c r="AY55" i="1" s="1"/>
  <c r="AZ55" i="1" s="1"/>
  <c r="BA55" i="1" s="1"/>
  <c r="BB55" i="1" s="1"/>
  <c r="AV55" i="1"/>
  <c r="BF16" i="1"/>
  <c r="BE16" i="1"/>
  <c r="BL16" i="1" s="1"/>
  <c r="BM16" i="1" s="1"/>
  <c r="AU56" i="1"/>
  <c r="BC54" i="1"/>
  <c r="BD54" i="1" s="1"/>
  <c r="BD17" i="1"/>
  <c r="BH17" i="1" s="1"/>
  <c r="BI17" i="1" s="1"/>
  <c r="BJ17" i="1" s="1"/>
  <c r="BK17" i="1" s="1"/>
  <c r="BV16" i="1" l="1"/>
  <c r="BW16" i="1" s="1"/>
  <c r="BS17" i="1"/>
  <c r="BU17" i="1" s="1"/>
  <c r="BO18" i="1"/>
  <c r="BG16" i="1"/>
  <c r="BF17" i="1"/>
  <c r="BE17" i="1"/>
  <c r="BL17" i="1" s="1"/>
  <c r="BM17" i="1" s="1"/>
  <c r="AV56" i="1"/>
  <c r="AW56" i="1"/>
  <c r="AX56" i="1"/>
  <c r="AY56" i="1" s="1"/>
  <c r="AZ56" i="1" s="1"/>
  <c r="BA56" i="1" s="1"/>
  <c r="BB56" i="1" s="1"/>
  <c r="AU57" i="1"/>
  <c r="BC55" i="1"/>
  <c r="BD55" i="1" s="1"/>
  <c r="BD18" i="1"/>
  <c r="BH18" i="1" s="1"/>
  <c r="BI18" i="1" s="1"/>
  <c r="BJ18" i="1" s="1"/>
  <c r="BK18" i="1" s="1"/>
  <c r="BO19" i="1" l="1"/>
  <c r="BS18" i="1"/>
  <c r="BU18" i="1" s="1"/>
  <c r="BV17" i="1"/>
  <c r="BW17" i="1"/>
  <c r="BG17" i="1"/>
  <c r="BC56" i="1"/>
  <c r="BD56" i="1" s="1"/>
  <c r="BF18" i="1"/>
  <c r="BE18" i="1"/>
  <c r="AV57" i="1"/>
  <c r="AX57" i="1"/>
  <c r="AY57" i="1" s="1"/>
  <c r="AZ57" i="1" s="1"/>
  <c r="BA57" i="1" s="1"/>
  <c r="BB57" i="1" s="1"/>
  <c r="AW57" i="1"/>
  <c r="AU58" i="1"/>
  <c r="BD19" i="1"/>
  <c r="BH19" i="1" s="1"/>
  <c r="BI19" i="1" s="1"/>
  <c r="BJ19" i="1" s="1"/>
  <c r="BK19" i="1" s="1"/>
  <c r="BG18" i="1" l="1"/>
  <c r="BL18" i="1"/>
  <c r="BM18" i="1" s="1"/>
  <c r="BC57" i="1"/>
  <c r="BV18" i="1"/>
  <c r="BW18" i="1" s="1"/>
  <c r="BO20" i="1"/>
  <c r="BS19" i="1"/>
  <c r="BU19" i="1" s="1"/>
  <c r="BD57" i="1"/>
  <c r="AX58" i="1"/>
  <c r="AY58" i="1" s="1"/>
  <c r="AZ58" i="1" s="1"/>
  <c r="BA58" i="1" s="1"/>
  <c r="BB58" i="1" s="1"/>
  <c r="AW58" i="1"/>
  <c r="AV58" i="1"/>
  <c r="BF19" i="1"/>
  <c r="BE19" i="1"/>
  <c r="BL19" i="1" s="1"/>
  <c r="BM19" i="1" s="1"/>
  <c r="AU59" i="1"/>
  <c r="BD20" i="1"/>
  <c r="BH20" i="1" s="1"/>
  <c r="BI20" i="1" s="1"/>
  <c r="BJ20" i="1" s="1"/>
  <c r="BK20" i="1" s="1"/>
  <c r="BV19" i="1" l="1"/>
  <c r="BW19" i="1" s="1"/>
  <c r="BO21" i="1"/>
  <c r="BS20" i="1"/>
  <c r="BU20" i="1" s="1"/>
  <c r="AW59" i="1"/>
  <c r="AX59" i="1"/>
  <c r="AY59" i="1" s="1"/>
  <c r="AZ59" i="1" s="1"/>
  <c r="BA59" i="1" s="1"/>
  <c r="BB59" i="1" s="1"/>
  <c r="AV59" i="1"/>
  <c r="BE20" i="1"/>
  <c r="BF20" i="1"/>
  <c r="AU60" i="1"/>
  <c r="BC58" i="1"/>
  <c r="BD58" i="1" s="1"/>
  <c r="BG19" i="1"/>
  <c r="BD21" i="1"/>
  <c r="BH21" i="1" s="1"/>
  <c r="BI21" i="1" s="1"/>
  <c r="BJ21" i="1" s="1"/>
  <c r="BK21" i="1" s="1"/>
  <c r="BL20" i="1" l="1"/>
  <c r="BM20" i="1" s="1"/>
  <c r="BV20" i="1"/>
  <c r="BW20" i="1" s="1"/>
  <c r="BS21" i="1"/>
  <c r="BU21" i="1" s="1"/>
  <c r="BO22" i="1"/>
  <c r="BG20" i="1"/>
  <c r="BC59" i="1"/>
  <c r="AW60" i="1"/>
  <c r="AV60" i="1"/>
  <c r="AX60" i="1"/>
  <c r="AY60" i="1" s="1"/>
  <c r="AZ60" i="1" s="1"/>
  <c r="BA60" i="1" s="1"/>
  <c r="BB60" i="1" s="1"/>
  <c r="BF21" i="1"/>
  <c r="BE21" i="1"/>
  <c r="BL21" i="1" s="1"/>
  <c r="BM21" i="1" s="1"/>
  <c r="BD59" i="1"/>
  <c r="AU61" i="1"/>
  <c r="BD22" i="1"/>
  <c r="BH22" i="1" s="1"/>
  <c r="BI22" i="1" s="1"/>
  <c r="BJ22" i="1" s="1"/>
  <c r="BK22" i="1" s="1"/>
  <c r="BV21" i="1" l="1"/>
  <c r="BW21" i="1" s="1"/>
  <c r="BO23" i="1"/>
  <c r="BS22" i="1"/>
  <c r="BU22" i="1" s="1"/>
  <c r="BG21" i="1"/>
  <c r="BF22" i="1"/>
  <c r="BE22" i="1"/>
  <c r="AW61" i="1"/>
  <c r="AV61" i="1"/>
  <c r="AX61" i="1"/>
  <c r="AY61" i="1" s="1"/>
  <c r="AZ61" i="1" s="1"/>
  <c r="BA61" i="1" s="1"/>
  <c r="BB61" i="1" s="1"/>
  <c r="AU62" i="1"/>
  <c r="BC60" i="1"/>
  <c r="BD60" i="1" s="1"/>
  <c r="BD23" i="1"/>
  <c r="BH23" i="1" s="1"/>
  <c r="BI23" i="1" s="1"/>
  <c r="BJ23" i="1" s="1"/>
  <c r="BK23" i="1" s="1"/>
  <c r="BG22" i="1" l="1"/>
  <c r="BL22" i="1"/>
  <c r="BM22" i="1" s="1"/>
  <c r="BS23" i="1"/>
  <c r="BU23" i="1" s="1"/>
  <c r="BO24" i="1"/>
  <c r="BV22" i="1"/>
  <c r="BW22" i="1" s="1"/>
  <c r="BF23" i="1"/>
  <c r="BE23" i="1"/>
  <c r="BL23" i="1" s="1"/>
  <c r="BM23" i="1" s="1"/>
  <c r="AX62" i="1"/>
  <c r="AY62" i="1" s="1"/>
  <c r="AZ62" i="1" s="1"/>
  <c r="BA62" i="1" s="1"/>
  <c r="BB62" i="1" s="1"/>
  <c r="AV62" i="1"/>
  <c r="AW62" i="1"/>
  <c r="BC61" i="1"/>
  <c r="BD61" i="1" s="1"/>
  <c r="AU63" i="1"/>
  <c r="BD24" i="1"/>
  <c r="BH24" i="1" s="1"/>
  <c r="BI24" i="1" s="1"/>
  <c r="BJ24" i="1" s="1"/>
  <c r="BK24" i="1" s="1"/>
  <c r="BO25" i="1" l="1"/>
  <c r="BS24" i="1"/>
  <c r="BU24" i="1" s="1"/>
  <c r="BV23" i="1"/>
  <c r="BW23" i="1" s="1"/>
  <c r="BG23" i="1"/>
  <c r="BC62" i="1"/>
  <c r="BD62" i="1" s="1"/>
  <c r="AW63" i="1"/>
  <c r="AX63" i="1"/>
  <c r="AY63" i="1" s="1"/>
  <c r="AZ63" i="1" s="1"/>
  <c r="BA63" i="1" s="1"/>
  <c r="BB63" i="1" s="1"/>
  <c r="AV63" i="1"/>
  <c r="BF24" i="1"/>
  <c r="BE24" i="1"/>
  <c r="BL24" i="1" s="1"/>
  <c r="BM24" i="1" s="1"/>
  <c r="AU64" i="1"/>
  <c r="BD25" i="1"/>
  <c r="BH25" i="1" s="1"/>
  <c r="BI25" i="1" s="1"/>
  <c r="BJ25" i="1" s="1"/>
  <c r="BK25" i="1" s="1"/>
  <c r="BS25" i="1" l="1"/>
  <c r="BU25" i="1" s="1"/>
  <c r="BO26" i="1"/>
  <c r="BV24" i="1"/>
  <c r="BW24" i="1" s="1"/>
  <c r="BG24" i="1"/>
  <c r="AV64" i="1"/>
  <c r="AW64" i="1"/>
  <c r="AX64" i="1"/>
  <c r="AY64" i="1" s="1"/>
  <c r="AZ64" i="1" s="1"/>
  <c r="BA64" i="1" s="1"/>
  <c r="BB64" i="1" s="1"/>
  <c r="BE25" i="1"/>
  <c r="BF25" i="1"/>
  <c r="BC63" i="1"/>
  <c r="BD63" i="1" s="1"/>
  <c r="AU65" i="1"/>
  <c r="BD26" i="1"/>
  <c r="BH26" i="1" s="1"/>
  <c r="BI26" i="1" s="1"/>
  <c r="BJ26" i="1" s="1"/>
  <c r="BK26" i="1" s="1"/>
  <c r="BL25" i="1" l="1"/>
  <c r="BM25" i="1" s="1"/>
  <c r="BO27" i="1"/>
  <c r="BS26" i="1"/>
  <c r="BU26" i="1" s="1"/>
  <c r="BV25" i="1"/>
  <c r="BW25" i="1" s="1"/>
  <c r="BF26" i="1"/>
  <c r="BE26" i="1"/>
  <c r="BL26" i="1" s="1"/>
  <c r="BM26" i="1" s="1"/>
  <c r="AV65" i="1"/>
  <c r="AX65" i="1"/>
  <c r="AY65" i="1" s="1"/>
  <c r="AZ65" i="1" s="1"/>
  <c r="BA65" i="1" s="1"/>
  <c r="BB65" i="1" s="1"/>
  <c r="AW65" i="1"/>
  <c r="BC64" i="1"/>
  <c r="BD64" i="1" s="1"/>
  <c r="BG25" i="1"/>
  <c r="AU66" i="1"/>
  <c r="BD27" i="1"/>
  <c r="BH27" i="1" s="1"/>
  <c r="BI27" i="1" s="1"/>
  <c r="BJ27" i="1" s="1"/>
  <c r="BK27" i="1" s="1"/>
  <c r="BV26" i="1" l="1"/>
  <c r="BW26" i="1" s="1"/>
  <c r="BS27" i="1"/>
  <c r="BU27" i="1" s="1"/>
  <c r="BO28" i="1"/>
  <c r="BC65" i="1"/>
  <c r="BD65" i="1" s="1"/>
  <c r="AX66" i="1"/>
  <c r="AV66" i="1"/>
  <c r="BC66" i="1" s="1"/>
  <c r="AW66" i="1"/>
  <c r="BF27" i="1"/>
  <c r="BE27" i="1"/>
  <c r="BL27" i="1" s="1"/>
  <c r="BM27" i="1" s="1"/>
  <c r="BG26" i="1"/>
  <c r="AU67" i="1"/>
  <c r="AY66" i="1"/>
  <c r="AZ66" i="1" s="1"/>
  <c r="BA66" i="1" s="1"/>
  <c r="BB66" i="1" s="1"/>
  <c r="BD28" i="1"/>
  <c r="BH28" i="1" s="1"/>
  <c r="BI28" i="1" s="1"/>
  <c r="BJ28" i="1" s="1"/>
  <c r="BK28" i="1" s="1"/>
  <c r="BS28" i="1" l="1"/>
  <c r="BU28" i="1" s="1"/>
  <c r="BO29" i="1"/>
  <c r="BV27" i="1"/>
  <c r="BW27" i="1" s="1"/>
  <c r="BD66" i="1"/>
  <c r="BF28" i="1"/>
  <c r="BE28" i="1"/>
  <c r="BL28" i="1" s="1"/>
  <c r="BM28" i="1" s="1"/>
  <c r="AX67" i="1"/>
  <c r="AY67" i="1" s="1"/>
  <c r="AZ67" i="1" s="1"/>
  <c r="BA67" i="1" s="1"/>
  <c r="BB67" i="1" s="1"/>
  <c r="AV67" i="1"/>
  <c r="AW67" i="1"/>
  <c r="BG27" i="1"/>
  <c r="AU68" i="1"/>
  <c r="BD29" i="1"/>
  <c r="BH29" i="1" s="1"/>
  <c r="BI29" i="1" s="1"/>
  <c r="BJ29" i="1" s="1"/>
  <c r="BK29" i="1" s="1"/>
  <c r="BV28" i="1" l="1"/>
  <c r="BW28" i="1" s="1"/>
  <c r="BS29" i="1"/>
  <c r="BU29" i="1" s="1"/>
  <c r="BO30" i="1"/>
  <c r="BC67" i="1"/>
  <c r="BD67" i="1" s="1"/>
  <c r="BF29" i="1"/>
  <c r="BE29" i="1"/>
  <c r="BL29" i="1" s="1"/>
  <c r="BM29" i="1" s="1"/>
  <c r="AX68" i="1"/>
  <c r="AY68" i="1" s="1"/>
  <c r="AZ68" i="1" s="1"/>
  <c r="BA68" i="1" s="1"/>
  <c r="BB68" i="1" s="1"/>
  <c r="AW68" i="1"/>
  <c r="AV68" i="1"/>
  <c r="BG28" i="1"/>
  <c r="AU69" i="1"/>
  <c r="BD30" i="1"/>
  <c r="BH30" i="1" s="1"/>
  <c r="BI30" i="1" s="1"/>
  <c r="BJ30" i="1" s="1"/>
  <c r="BK30" i="1" s="1"/>
  <c r="BO31" i="1" l="1"/>
  <c r="BS30" i="1"/>
  <c r="BU30" i="1" s="1"/>
  <c r="BV29" i="1"/>
  <c r="BW29" i="1"/>
  <c r="BG29" i="1"/>
  <c r="BE30" i="1"/>
  <c r="BF30" i="1"/>
  <c r="BG30" i="1" s="1"/>
  <c r="AW69" i="1"/>
  <c r="AV69" i="1"/>
  <c r="AX69" i="1"/>
  <c r="AY69" i="1" s="1"/>
  <c r="AZ69" i="1" s="1"/>
  <c r="BA69" i="1" s="1"/>
  <c r="BB69" i="1" s="1"/>
  <c r="BC68" i="1"/>
  <c r="BD68" i="1" s="1"/>
  <c r="AU70" i="1"/>
  <c r="BD31" i="1"/>
  <c r="BH31" i="1" s="1"/>
  <c r="BI31" i="1" s="1"/>
  <c r="BJ31" i="1" s="1"/>
  <c r="BK31" i="1" s="1"/>
  <c r="BL30" i="1" l="1"/>
  <c r="BM30" i="1" s="1"/>
  <c r="BV30" i="1"/>
  <c r="BW30" i="1" s="1"/>
  <c r="BO32" i="1"/>
  <c r="BS31" i="1"/>
  <c r="BU31" i="1" s="1"/>
  <c r="AX70" i="1"/>
  <c r="AW70" i="1"/>
  <c r="AV70" i="1"/>
  <c r="BE31" i="1"/>
  <c r="BF31" i="1"/>
  <c r="BG31" i="1" s="1"/>
  <c r="BC69" i="1"/>
  <c r="BD69" i="1" s="1"/>
  <c r="AU71" i="1"/>
  <c r="AY70" i="1"/>
  <c r="AZ70" i="1" s="1"/>
  <c r="BA70" i="1" s="1"/>
  <c r="BB70" i="1" s="1"/>
  <c r="BD32" i="1"/>
  <c r="BH32" i="1" s="1"/>
  <c r="BI32" i="1" s="1"/>
  <c r="BJ32" i="1" s="1"/>
  <c r="BK32" i="1" s="1"/>
  <c r="BL31" i="1" l="1"/>
  <c r="BM31" i="1" s="1"/>
  <c r="BV31" i="1"/>
  <c r="BW31" i="1" s="1"/>
  <c r="BS32" i="1"/>
  <c r="BU32" i="1" s="1"/>
  <c r="BO33" i="1"/>
  <c r="BD33" i="1"/>
  <c r="BH33" i="1" s="1"/>
  <c r="BI33" i="1" s="1"/>
  <c r="BJ33" i="1" s="1"/>
  <c r="BK33" i="1" s="1"/>
  <c r="BE32" i="1"/>
  <c r="BF32" i="1"/>
  <c r="AW71" i="1"/>
  <c r="AX71" i="1"/>
  <c r="AY71" i="1" s="1"/>
  <c r="AZ71" i="1" s="1"/>
  <c r="BA71" i="1" s="1"/>
  <c r="BB71" i="1" s="1"/>
  <c r="AV71" i="1"/>
  <c r="BC70" i="1"/>
  <c r="BD70" i="1" s="1"/>
  <c r="AU72" i="1"/>
  <c r="BL32" i="1" l="1"/>
  <c r="BM32" i="1" s="1"/>
  <c r="BV32" i="1"/>
  <c r="BS33" i="1"/>
  <c r="BU33" i="1" s="1"/>
  <c r="BO34" i="1"/>
  <c r="BW32" i="1"/>
  <c r="AV72" i="1"/>
  <c r="AW72" i="1"/>
  <c r="AX72" i="1"/>
  <c r="AY72" i="1" s="1"/>
  <c r="AZ72" i="1" s="1"/>
  <c r="BA72" i="1" s="1"/>
  <c r="BB72" i="1" s="1"/>
  <c r="BF33" i="1"/>
  <c r="BE33" i="1"/>
  <c r="AU73" i="1"/>
  <c r="BC71" i="1"/>
  <c r="BD71" i="1" s="1"/>
  <c r="BG32" i="1"/>
  <c r="BD34" i="1"/>
  <c r="BH34" i="1" s="1"/>
  <c r="BI34" i="1" s="1"/>
  <c r="BJ34" i="1" s="1"/>
  <c r="BK34" i="1" s="1"/>
  <c r="BG33" i="1" l="1"/>
  <c r="BL33" i="1"/>
  <c r="BM33" i="1" s="1"/>
  <c r="BO35" i="1"/>
  <c r="BS34" i="1"/>
  <c r="BU34" i="1" s="1"/>
  <c r="BV33" i="1"/>
  <c r="BW33" i="1"/>
  <c r="BF34" i="1"/>
  <c r="BE34" i="1"/>
  <c r="BL34" i="1" s="1"/>
  <c r="BM34" i="1" s="1"/>
  <c r="AV73" i="1"/>
  <c r="AW73" i="1"/>
  <c r="AX73" i="1"/>
  <c r="AY73" i="1" s="1"/>
  <c r="AZ73" i="1" s="1"/>
  <c r="BA73" i="1" s="1"/>
  <c r="BB73" i="1" s="1"/>
  <c r="BC72" i="1"/>
  <c r="BD72" i="1" s="1"/>
  <c r="AU74" i="1"/>
  <c r="BD35" i="1"/>
  <c r="BH35" i="1" s="1"/>
  <c r="BI35" i="1" s="1"/>
  <c r="BJ35" i="1" s="1"/>
  <c r="BK35" i="1" s="1"/>
  <c r="BV34" i="1" l="1"/>
  <c r="BW34" i="1" s="1"/>
  <c r="BS35" i="1"/>
  <c r="BU35" i="1" s="1"/>
  <c r="BC73" i="1"/>
  <c r="BD73" i="1"/>
  <c r="AV74" i="1"/>
  <c r="AX74" i="1"/>
  <c r="AY74" i="1" s="1"/>
  <c r="AZ74" i="1" s="1"/>
  <c r="BA74" i="1" s="1"/>
  <c r="BB74" i="1" s="1"/>
  <c r="AW74" i="1"/>
  <c r="BC74" i="1" s="1"/>
  <c r="BF35" i="1"/>
  <c r="BE35" i="1"/>
  <c r="BL35" i="1" s="1"/>
  <c r="BM35" i="1" s="1"/>
  <c r="AU75" i="1"/>
  <c r="BG34" i="1"/>
  <c r="BV35" i="1" l="1"/>
  <c r="BW35" i="1" s="1"/>
  <c r="BG35" i="1"/>
  <c r="AV75" i="1"/>
  <c r="AX75" i="1"/>
  <c r="AY75" i="1" s="1"/>
  <c r="AZ75" i="1" s="1"/>
  <c r="BA75" i="1" s="1"/>
  <c r="BB75" i="1" s="1"/>
  <c r="AW75" i="1"/>
  <c r="BD74" i="1"/>
  <c r="AU76" i="1"/>
  <c r="BC75" i="1" l="1"/>
  <c r="BD75" i="1" s="1"/>
  <c r="AX76" i="1"/>
  <c r="AY76" i="1" s="1"/>
  <c r="AZ76" i="1" s="1"/>
  <c r="BA76" i="1" s="1"/>
  <c r="BB76" i="1" s="1"/>
  <c r="AV76" i="1"/>
  <c r="AW76" i="1"/>
  <c r="AU77" i="1"/>
  <c r="BC76" i="1" l="1"/>
  <c r="BD76" i="1" s="1"/>
  <c r="AX77" i="1"/>
  <c r="AV77" i="1"/>
  <c r="AW77" i="1"/>
  <c r="AU78" i="1"/>
  <c r="BC77" i="1"/>
  <c r="AY77" i="1"/>
  <c r="AZ77" i="1" s="1"/>
  <c r="BA77" i="1" s="1"/>
  <c r="BB77" i="1" s="1"/>
  <c r="BD77" i="1" s="1"/>
  <c r="AX78" i="1" l="1"/>
  <c r="AY78" i="1" s="1"/>
  <c r="AZ78" i="1" s="1"/>
  <c r="BA78" i="1" s="1"/>
  <c r="BB78" i="1" s="1"/>
  <c r="AV78" i="1"/>
  <c r="AW78" i="1"/>
  <c r="AU79" i="1"/>
  <c r="BC78" i="1" l="1"/>
  <c r="BD78" i="1" s="1"/>
  <c r="AW79" i="1"/>
  <c r="AX79" i="1"/>
  <c r="AY79" i="1" s="1"/>
  <c r="AZ79" i="1" s="1"/>
  <c r="BA79" i="1" s="1"/>
  <c r="BB79" i="1" s="1"/>
  <c r="AV79" i="1"/>
  <c r="AU80" i="1"/>
  <c r="AV80" i="1" l="1"/>
  <c r="AW80" i="1"/>
  <c r="AX80" i="1"/>
  <c r="BC79" i="1"/>
  <c r="BD79" i="1" s="1"/>
  <c r="AU81" i="1"/>
  <c r="AY80" i="1"/>
  <c r="AZ80" i="1" s="1"/>
  <c r="BA80" i="1" s="1"/>
  <c r="BB80" i="1" s="1"/>
  <c r="AV81" i="1" l="1"/>
  <c r="AW81" i="1"/>
  <c r="AX81" i="1"/>
  <c r="BC80" i="1"/>
  <c r="BD80" i="1" s="1"/>
  <c r="AY81" i="1"/>
  <c r="AZ81" i="1" s="1"/>
  <c r="BA81" i="1" s="1"/>
  <c r="BB81" i="1" s="1"/>
  <c r="BC81" i="1" l="1"/>
  <c r="BD81" i="1" s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<sst xmlns="http://schemas.openxmlformats.org/spreadsheetml/2006/main" count="239" uniqueCount="71">
  <si>
    <t>Volt</t>
  </si>
  <si>
    <t>Gram</t>
  </si>
  <si>
    <t>Omdr/min</t>
  </si>
  <si>
    <t>Ampere</t>
  </si>
  <si>
    <t>B</t>
  </si>
  <si>
    <t>vægt bagerst</t>
  </si>
  <si>
    <t>vægt foran</t>
  </si>
  <si>
    <t>det hele</t>
  </si>
  <si>
    <t>Opstilling 1</t>
  </si>
  <si>
    <t>Opstilling 2</t>
  </si>
  <si>
    <t>diffrence</t>
  </si>
  <si>
    <t>forskel</t>
  </si>
  <si>
    <t>10 batterier</t>
  </si>
  <si>
    <t>Vægtstangsforhold: 1:1</t>
  </si>
  <si>
    <t>8 batterier</t>
  </si>
  <si>
    <t>6 batterier</t>
  </si>
  <si>
    <t>Setup 1</t>
  </si>
  <si>
    <t>Setup 2</t>
  </si>
  <si>
    <t>Setup 3</t>
  </si>
  <si>
    <t>Setup 4</t>
  </si>
  <si>
    <t>Setup 5</t>
  </si>
  <si>
    <t>Setup 6</t>
  </si>
  <si>
    <t>Vægtstangsforhold: 2:1</t>
  </si>
  <si>
    <t>MÅLINGER AF DREJEMOMENT</t>
  </si>
  <si>
    <t>Vægtstangsforhold 1:1</t>
  </si>
  <si>
    <t>Vægtstangsforhold 2:1</t>
  </si>
  <si>
    <t>Vægtstangsforhold 2:1 - mellem 6 og 10 batterier</t>
  </si>
  <si>
    <t>a</t>
  </si>
  <si>
    <t>Interpolering for 1:1</t>
  </si>
  <si>
    <t>Interpolering for 2:1</t>
  </si>
  <si>
    <t>Vægt [g]</t>
  </si>
  <si>
    <t>Kraft [N]</t>
  </si>
  <si>
    <t>Produceret kraft [N] (vægtstangsprincip)</t>
  </si>
  <si>
    <t>Drejemoment [Nm]</t>
  </si>
  <si>
    <t>Effekt [W]</t>
  </si>
  <si>
    <t>Mekanisk effekt [W]</t>
  </si>
  <si>
    <t>Elektrisk effekt [W]</t>
  </si>
  <si>
    <t>Mekanisk virkningsgrad</t>
  </si>
  <si>
    <t>Måling af drejemoment (mørkeblåt område)</t>
  </si>
  <si>
    <t>y = 0,00205x - 1,98990</t>
  </si>
  <si>
    <t>y = 0,00155x - 2,26616</t>
  </si>
  <si>
    <t>P = U * I</t>
  </si>
  <si>
    <t>y = 0,00187x - 1,40300</t>
  </si>
  <si>
    <t>y = 0,00135x - 1,57916</t>
  </si>
  <si>
    <t>y=0.0018304*x-1.3330731</t>
  </si>
  <si>
    <t>y=0.001352*x-1.595325</t>
  </si>
  <si>
    <t>y=0.04358*x-110.88851</t>
  </si>
  <si>
    <t>F = m * g</t>
  </si>
  <si>
    <t>Fstang = (F/4*256)/(3/4*256)</t>
  </si>
  <si>
    <t>M = Fstang*3/4*256/1000</t>
  </si>
  <si>
    <t>Pind = U * I</t>
  </si>
  <si>
    <t>n = Pud/Pind</t>
  </si>
  <si>
    <t>Måling af drejemoment 2</t>
  </si>
  <si>
    <t>Vægtstangsforhold 1:1 - mellem 6 og 10 batterier</t>
  </si>
  <si>
    <t>Måling af opdrift (lyseblåt område)</t>
  </si>
  <si>
    <t>Omdrejningstal [RPM]</t>
  </si>
  <si>
    <t>Spænding [V]</t>
  </si>
  <si>
    <t>Strømstyrke [A]</t>
  </si>
  <si>
    <t>y = 0,06841*x-119,87208</t>
  </si>
  <si>
    <t>F = m*g</t>
  </si>
  <si>
    <t>Fstang * 128 = Fop * 128</t>
  </si>
  <si>
    <t>Pud = M*O*0,10472</t>
  </si>
  <si>
    <t xml:space="preserve">I formlen for den mekaniske effekt laves RPM om til rad/s ved at gange med omregningsfaktoren 0.140472. </t>
  </si>
  <si>
    <t>Pud = M * omega</t>
  </si>
  <si>
    <t>y = 0,19489x - 336,37674</t>
  </si>
  <si>
    <t>Fstang * 64 = Fop * 192</t>
  </si>
  <si>
    <t>y = 0,00017271*x - 0,9937473</t>
  </si>
  <si>
    <t>y = 0,001231*x - 1,287051</t>
  </si>
  <si>
    <t>y = 0,01757*x - 28,15341</t>
  </si>
  <si>
    <t>M_motor = F * 64 mm</t>
  </si>
  <si>
    <t>Interpolation for drejemoment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</si>
</sst>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7" tint="0.39997558519241921"/>
        <bgColor indexed="65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3">
    <xf numFmtId="0" fontId="0" fillId="0" borderId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</cellStyleXfs>
  <cellXfs count="48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2" borderId="0" xfId="0" applyNumberFormat="1" applyFill="1"/>
    <xf numFmtId="0" fontId="1" fillId="3" borderId="0" xfId="1"/>
    <xf numFmtId="0" fontId="4" fillId="5" borderId="0" xfId="3"/>
    <xf numFmtId="0" fontId="2" fillId="6" borderId="0" xfId="4"/>
    <xf numFmtId="0" fontId="5" fillId="6" borderId="0" xfId="4" applyFont="1"/>
    <xf numFmtId="0" fontId="2" fillId="8" borderId="0" xfId="6"/>
    <xf numFmtId="0" fontId="5" fillId="8" borderId="0" xfId="6" applyFont="1"/>
    <xf numFmtId="0" fontId="2" fillId="7" borderId="0" xfId="5"/>
    <xf numFmtId="0" fontId="6" fillId="7" borderId="0" xfId="5" applyFont="1"/>
    <xf numFmtId="0" fontId="2" fillId="10" borderId="0" xfId="8"/>
    <xf numFmtId="0" fontId="2" fillId="9" borderId="0" xfId="7"/>
    <xf numFmtId="0" fontId="7" fillId="9" borderId="0" xfId="7" applyFont="1"/>
    <xf numFmtId="164" fontId="2" fillId="10" borderId="0" xfId="8" applyNumberFormat="1"/>
    <xf numFmtId="2" fontId="2" fillId="10" borderId="0" xfId="8" applyNumberFormat="1"/>
    <xf numFmtId="1" fontId="2" fillId="10" borderId="0" xfId="8" applyNumberFormat="1"/>
    <xf numFmtId="0" fontId="8" fillId="4" borderId="0" xfId="2" applyFont="1"/>
    <xf numFmtId="0" fontId="8" fillId="5" borderId="0" xfId="3" applyFont="1"/>
    <xf numFmtId="0" fontId="3" fillId="4" borderId="0" xfId="2" applyAlignment="1">
      <alignment horizontal="center" vertical="center" wrapText="1"/>
    </xf>
    <xf numFmtId="0" fontId="10" fillId="10" borderId="0" xfId="8" applyFont="1"/>
    <xf numFmtId="2" fontId="10" fillId="10" borderId="0" xfId="8" applyNumberFormat="1" applyFont="1"/>
    <xf numFmtId="0" fontId="4" fillId="5" borderId="0" xfId="3" applyAlignment="1">
      <alignment wrapText="1"/>
    </xf>
    <xf numFmtId="0" fontId="4" fillId="5" borderId="0" xfId="3" applyAlignment="1">
      <alignment vertical="top" wrapText="1"/>
    </xf>
    <xf numFmtId="0" fontId="4" fillId="5" borderId="0" xfId="3" applyAlignment="1">
      <alignment horizontal="left" vertical="top" wrapText="1"/>
    </xf>
    <xf numFmtId="0" fontId="4" fillId="5" borderId="0" xfId="3" applyAlignment="1">
      <alignment horizontal="left" vertical="center" wrapText="1"/>
    </xf>
    <xf numFmtId="165" fontId="2" fillId="10" borderId="0" xfId="8" applyNumberFormat="1"/>
    <xf numFmtId="166" fontId="2" fillId="10" borderId="0" xfId="8" applyNumberFormat="1"/>
    <xf numFmtId="0" fontId="9" fillId="11" borderId="0" xfId="9"/>
    <xf numFmtId="0" fontId="2" fillId="13" borderId="0" xfId="11"/>
    <xf numFmtId="0" fontId="5" fillId="13" borderId="0" xfId="11" applyFont="1"/>
    <xf numFmtId="0" fontId="11" fillId="13" borderId="0" xfId="11" applyFont="1"/>
    <xf numFmtId="0" fontId="3" fillId="4" borderId="0" xfId="2" applyAlignment="1">
      <alignment vertical="center" wrapText="1"/>
    </xf>
    <xf numFmtId="0" fontId="9" fillId="12" borderId="0" xfId="10"/>
    <xf numFmtId="0" fontId="9" fillId="12" borderId="0" xfId="10" applyAlignment="1">
      <alignment vertical="center" wrapText="1"/>
    </xf>
    <xf numFmtId="0" fontId="2" fillId="6" borderId="0" xfId="4" applyAlignment="1">
      <alignment horizontal="left" vertical="center" wrapText="1"/>
    </xf>
    <xf numFmtId="0" fontId="2" fillId="6" borderId="0" xfId="4" applyAlignment="1">
      <alignment vertical="center" wrapText="1"/>
    </xf>
    <xf numFmtId="0" fontId="0" fillId="8" borderId="0" xfId="6" applyFont="1" applyAlignment="1">
      <alignment horizontal="center" vertical="top" wrapText="1"/>
    </xf>
    <xf numFmtId="0" fontId="3" fillId="4" borderId="0" xfId="2"/>
    <xf numFmtId="0" fontId="2" fillId="14" borderId="0" xfId="12" applyAlignment="1">
      <alignment vertical="center" wrapText="1"/>
    </xf>
  </cellXfs>
  <cellStyles count="13">
    <cellStyle name="20% - Accent1" xfId="4" builtinId="30"/>
    <cellStyle name="20% - Accent3" xfId="8" builtinId="38"/>
    <cellStyle name="40% - Accent4" xfId="5" builtinId="43"/>
    <cellStyle name="40% - Accent5" xfId="6" builtinId="47"/>
    <cellStyle name="60% - Accent2" xfId="7" builtinId="36"/>
    <cellStyle name="60% - Accent4" xfId="12" builtinId="44"/>
    <cellStyle name="60% - Accent5" xfId="11" builtinId="48"/>
    <cellStyle name="Accent1" xfId="9" builtinId="29"/>
    <cellStyle name="Accent3" xfId="10" builtinId="37"/>
    <cellStyle name="Bad" xfId="1" builtinId="27"/>
    <cellStyle name="Good" xfId="2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Målinger!$W$5:$W$13</c:f>
              <c:numCache>
                <c:formatCode>General</c:formatCode>
                <c:ptCount val="9"/>
                <c:pt idx="0">
                  <c:v>3830</c:v>
                </c:pt>
                <c:pt idx="1">
                  <c:v>3917</c:v>
                </c:pt>
                <c:pt idx="2">
                  <c:v>3900</c:v>
                </c:pt>
                <c:pt idx="3">
                  <c:v>3577</c:v>
                </c:pt>
                <c:pt idx="4">
                  <c:v>3603</c:v>
                </c:pt>
                <c:pt idx="5">
                  <c:v>3525</c:v>
                </c:pt>
                <c:pt idx="6">
                  <c:v>3065</c:v>
                </c:pt>
                <c:pt idx="7">
                  <c:v>3062</c:v>
                </c:pt>
                <c:pt idx="8">
                  <c:v>3035</c:v>
                </c:pt>
              </c:numCache>
            </c:numRef>
          </c:xVal>
          <c:yVal>
            <c:numRef>
              <c:f>Målinger!$U$5:$U$13</c:f>
              <c:numCache>
                <c:formatCode>0.00</c:formatCode>
                <c:ptCount val="9"/>
                <c:pt idx="0">
                  <c:v>6</c:v>
                </c:pt>
                <c:pt idx="1">
                  <c:v>5.9</c:v>
                </c:pt>
                <c:pt idx="2">
                  <c:v>6.02</c:v>
                </c:pt>
                <c:pt idx="3" formatCode="General">
                  <c:v>5.3</c:v>
                </c:pt>
                <c:pt idx="4" formatCode="General">
                  <c:v>5.3</c:v>
                </c:pt>
                <c:pt idx="5" formatCode="General">
                  <c:v>5.25</c:v>
                </c:pt>
                <c:pt idx="6" formatCode="General">
                  <c:v>4.3</c:v>
                </c:pt>
                <c:pt idx="7" formatCode="General">
                  <c:v>4.26</c:v>
                </c:pt>
                <c:pt idx="8" formatCode="General">
                  <c:v>4.22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88-4208-A6FE-204870945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Strømstyrke</a:t>
            </a:r>
            <a:r>
              <a:rPr lang="en-US" baseline="0"/>
              <a:t>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281959782328301"/>
          <c:y val="0.1202396749859071"/>
          <c:w val="0.73888670507450216"/>
          <c:h val="0.74093053539331777"/>
        </c:manualLayout>
      </c:layout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0202808112324488E-2"/>
                  <c:y val="0.3957932705099142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y = 0,001231x - 1,287051</a:t>
                    </a:r>
                    <a:br>
                      <a:rPr lang="en-US" sz="1050" baseline="0">
                        <a:solidFill>
                          <a:schemeClr val="bg1"/>
                        </a:solidFill>
                      </a:rPr>
                    </a:b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R² = 0,997214</a:t>
                    </a:r>
                    <a:endParaRPr lang="en-US" sz="1050">
                      <a:solidFill>
                        <a:schemeClr val="bg1"/>
                      </a:solidFill>
                    </a:endParaRPr>
                  </a:p>
                </c:rich>
              </c:tx>
              <c:numFmt formatCode="#,##0.0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Målinger!$Z$90:$Z$98</c:f>
              <c:numCache>
                <c:formatCode>General</c:formatCode>
                <c:ptCount val="9"/>
                <c:pt idx="0">
                  <c:v>3420</c:v>
                </c:pt>
                <c:pt idx="1">
                  <c:v>3340</c:v>
                </c:pt>
                <c:pt idx="2">
                  <c:v>3220</c:v>
                </c:pt>
                <c:pt idx="3">
                  <c:v>3230</c:v>
                </c:pt>
                <c:pt idx="4">
                  <c:v>3100</c:v>
                </c:pt>
                <c:pt idx="5">
                  <c:v>3050</c:v>
                </c:pt>
                <c:pt idx="6">
                  <c:v>2670</c:v>
                </c:pt>
                <c:pt idx="7">
                  <c:v>2630</c:v>
                </c:pt>
                <c:pt idx="8">
                  <c:v>2600</c:v>
                </c:pt>
              </c:numCache>
            </c:numRef>
          </c:xVal>
          <c:yVal>
            <c:numRef>
              <c:f>Målinger!$AA$90:$AA$98</c:f>
              <c:numCache>
                <c:formatCode>General</c:formatCode>
                <c:ptCount val="9"/>
                <c:pt idx="0">
                  <c:v>2.95</c:v>
                </c:pt>
                <c:pt idx="1">
                  <c:v>2.8</c:v>
                </c:pt>
                <c:pt idx="2">
                  <c:v>2.7</c:v>
                </c:pt>
                <c:pt idx="3">
                  <c:v>2.7</c:v>
                </c:pt>
                <c:pt idx="4">
                  <c:v>2.5</c:v>
                </c:pt>
                <c:pt idx="5">
                  <c:v>2.4500000000000002</c:v>
                </c:pt>
                <c:pt idx="6">
                  <c:v>2</c:v>
                </c:pt>
                <c:pt idx="7">
                  <c:v>1.95</c:v>
                </c:pt>
                <c:pt idx="8">
                  <c:v>1.93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AF-47DD-A791-E40E92313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Strømstyrke</a:t>
                </a:r>
                <a:r>
                  <a:rPr lang="da-DK" sz="1400" baseline="0"/>
                  <a:t> [A]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Vægt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4618708349299564"/>
          <c:w val="0.78764538221784774"/>
          <c:h val="0.66464756843921002"/>
        </c:manualLayout>
      </c:layout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3.1247129265091864E-2"/>
                  <c:y val="0.3429469125817229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bg1"/>
                        </a:solidFill>
                      </a:rPr>
                      <a:t>y = 3,29297e</a:t>
                    </a:r>
                    <a:r>
                      <a:rPr lang="en-US" baseline="30000">
                        <a:solidFill>
                          <a:schemeClr val="bg1"/>
                        </a:solidFill>
                      </a:rPr>
                      <a:t>0,00066x</a:t>
                    </a:r>
                    <a:br>
                      <a:rPr lang="en-US" baseline="0">
                        <a:solidFill>
                          <a:schemeClr val="bg1"/>
                        </a:solidFill>
                      </a:rPr>
                    </a:br>
                    <a:r>
                      <a:rPr lang="en-US" baseline="0">
                        <a:solidFill>
                          <a:schemeClr val="bg1"/>
                        </a:solidFill>
                      </a:rPr>
                      <a:t>R² = 0,95320</a:t>
                    </a:r>
                    <a:endParaRPr lang="en-US">
                      <a:solidFill>
                        <a:schemeClr val="bg1"/>
                      </a:solidFill>
                    </a:endParaRPr>
                  </a:p>
                </c:rich>
              </c:tx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Målinger!$V$90:$V$98</c:f>
              <c:numCache>
                <c:formatCode>General</c:formatCode>
                <c:ptCount val="9"/>
                <c:pt idx="0">
                  <c:v>3517</c:v>
                </c:pt>
                <c:pt idx="1">
                  <c:v>3412</c:v>
                </c:pt>
                <c:pt idx="2">
                  <c:v>3310</c:v>
                </c:pt>
                <c:pt idx="3">
                  <c:v>3150</c:v>
                </c:pt>
                <c:pt idx="4">
                  <c:v>3070</c:v>
                </c:pt>
                <c:pt idx="5">
                  <c:v>3000</c:v>
                </c:pt>
                <c:pt idx="6">
                  <c:v>2800</c:v>
                </c:pt>
                <c:pt idx="7">
                  <c:v>2720</c:v>
                </c:pt>
                <c:pt idx="8">
                  <c:v>2682</c:v>
                </c:pt>
              </c:numCache>
            </c:numRef>
          </c:xVal>
          <c:yVal>
            <c:numRef>
              <c:f>Målinger!$U$90:$U$98</c:f>
              <c:numCache>
                <c:formatCode>0.00</c:formatCode>
                <c:ptCount val="9"/>
                <c:pt idx="0">
                  <c:v>35.5</c:v>
                </c:pt>
                <c:pt idx="1">
                  <c:v>31.8</c:v>
                </c:pt>
                <c:pt idx="2">
                  <c:v>29</c:v>
                </c:pt>
                <c:pt idx="3">
                  <c:v>25</c:v>
                </c:pt>
                <c:pt idx="4">
                  <c:v>23.5</c:v>
                </c:pt>
                <c:pt idx="5">
                  <c:v>22.5</c:v>
                </c:pt>
                <c:pt idx="6">
                  <c:v>22</c:v>
                </c:pt>
                <c:pt idx="7">
                  <c:v>20.5</c:v>
                </c:pt>
                <c:pt idx="8">
                  <c:v>19.5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5A-485B-8916-140F77097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Vægt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5382990554319881"/>
          <c:w val="0.78764538221784774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Målinger!$Z$90:$Z$98</c:f>
              <c:numCache>
                <c:formatCode>General</c:formatCode>
                <c:ptCount val="9"/>
                <c:pt idx="0">
                  <c:v>3420</c:v>
                </c:pt>
                <c:pt idx="1">
                  <c:v>3340</c:v>
                </c:pt>
                <c:pt idx="2">
                  <c:v>3220</c:v>
                </c:pt>
                <c:pt idx="3">
                  <c:v>3230</c:v>
                </c:pt>
                <c:pt idx="4">
                  <c:v>3100</c:v>
                </c:pt>
                <c:pt idx="5">
                  <c:v>3050</c:v>
                </c:pt>
                <c:pt idx="6">
                  <c:v>2670</c:v>
                </c:pt>
                <c:pt idx="7">
                  <c:v>2630</c:v>
                </c:pt>
                <c:pt idx="8">
                  <c:v>2600</c:v>
                </c:pt>
              </c:numCache>
            </c:numRef>
          </c:xVal>
          <c:yVal>
            <c:numRef>
              <c:f>Målinger!$Y$90:$Y$98</c:f>
              <c:numCache>
                <c:formatCode>General</c:formatCode>
                <c:ptCount val="9"/>
                <c:pt idx="0">
                  <c:v>32.5</c:v>
                </c:pt>
                <c:pt idx="1">
                  <c:v>29.5</c:v>
                </c:pt>
                <c:pt idx="2">
                  <c:v>27</c:v>
                </c:pt>
                <c:pt idx="3">
                  <c:v>29.5</c:v>
                </c:pt>
                <c:pt idx="4">
                  <c:v>27</c:v>
                </c:pt>
                <c:pt idx="5">
                  <c:v>26</c:v>
                </c:pt>
                <c:pt idx="6">
                  <c:v>18.5</c:v>
                </c:pt>
                <c:pt idx="7">
                  <c:v>18</c:v>
                </c:pt>
                <c:pt idx="8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4D-4B9C-A4A8-FE4304935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Ækvivalent vægt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Målinger!$W$5:$W$13</c:f>
              <c:numCache>
                <c:formatCode>General</c:formatCode>
                <c:ptCount val="9"/>
                <c:pt idx="0">
                  <c:v>3830</c:v>
                </c:pt>
                <c:pt idx="1">
                  <c:v>3917</c:v>
                </c:pt>
                <c:pt idx="2">
                  <c:v>3900</c:v>
                </c:pt>
                <c:pt idx="3">
                  <c:v>3577</c:v>
                </c:pt>
                <c:pt idx="4">
                  <c:v>3603</c:v>
                </c:pt>
                <c:pt idx="5">
                  <c:v>3525</c:v>
                </c:pt>
                <c:pt idx="6">
                  <c:v>3065</c:v>
                </c:pt>
                <c:pt idx="7">
                  <c:v>3062</c:v>
                </c:pt>
                <c:pt idx="8">
                  <c:v>3035</c:v>
                </c:pt>
              </c:numCache>
            </c:numRef>
          </c:xVal>
          <c:yVal>
            <c:numRef>
              <c:f>Målinger!$V$5:$V$13</c:f>
              <c:numCache>
                <c:formatCode>General</c:formatCode>
                <c:ptCount val="9"/>
                <c:pt idx="0">
                  <c:v>146</c:v>
                </c:pt>
                <c:pt idx="1">
                  <c:v>150</c:v>
                </c:pt>
                <c:pt idx="2">
                  <c:v>147</c:v>
                </c:pt>
                <c:pt idx="3">
                  <c:v>130</c:v>
                </c:pt>
                <c:pt idx="4">
                  <c:v>126</c:v>
                </c:pt>
                <c:pt idx="5">
                  <c:v>115</c:v>
                </c:pt>
                <c:pt idx="6">
                  <c:v>101</c:v>
                </c:pt>
                <c:pt idx="7">
                  <c:v>97</c:v>
                </c:pt>
                <c:pt idx="8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84-4079-8AA6-4EA9584E4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[g]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Ækvivalent vægt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y = 0,06841x - 119,87208</a:t>
                    </a:r>
                    <a:br>
                      <a:rPr lang="en-US" sz="1050" baseline="0">
                        <a:solidFill>
                          <a:schemeClr val="bg1"/>
                        </a:solidFill>
                      </a:rPr>
                    </a:b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R² = 0,99117</a:t>
                    </a:r>
                    <a:endParaRPr lang="en-US" sz="1050">
                      <a:solidFill>
                        <a:schemeClr val="bg1"/>
                      </a:solidFill>
                    </a:endParaRPr>
                  </a:p>
                </c:rich>
              </c:tx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Målinger!$AA$5:$AA$13</c:f>
              <c:numCache>
                <c:formatCode>General</c:formatCode>
                <c:ptCount val="9"/>
                <c:pt idx="0">
                  <c:v>3865</c:v>
                </c:pt>
                <c:pt idx="1">
                  <c:v>3820</c:v>
                </c:pt>
                <c:pt idx="2">
                  <c:v>3759</c:v>
                </c:pt>
                <c:pt idx="3">
                  <c:v>3577</c:v>
                </c:pt>
                <c:pt idx="4">
                  <c:v>3500</c:v>
                </c:pt>
                <c:pt idx="5">
                  <c:v>3475</c:v>
                </c:pt>
                <c:pt idx="6">
                  <c:v>3045</c:v>
                </c:pt>
                <c:pt idx="7">
                  <c:v>2995</c:v>
                </c:pt>
                <c:pt idx="8">
                  <c:v>3011</c:v>
                </c:pt>
              </c:numCache>
            </c:numRef>
          </c:xVal>
          <c:yVal>
            <c:numRef>
              <c:f>Målinger!$Z$5:$Z$13</c:f>
              <c:numCache>
                <c:formatCode>General</c:formatCode>
                <c:ptCount val="9"/>
                <c:pt idx="0">
                  <c:v>145</c:v>
                </c:pt>
                <c:pt idx="1">
                  <c:v>144</c:v>
                </c:pt>
                <c:pt idx="2">
                  <c:v>135</c:v>
                </c:pt>
                <c:pt idx="3">
                  <c:v>128</c:v>
                </c:pt>
                <c:pt idx="4">
                  <c:v>118</c:v>
                </c:pt>
                <c:pt idx="5">
                  <c:v>114</c:v>
                </c:pt>
                <c:pt idx="6">
                  <c:v>88</c:v>
                </c:pt>
                <c:pt idx="7">
                  <c:v>86</c:v>
                </c:pt>
                <c:pt idx="8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D6-4C73-933D-7F1D11413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[g]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Ækvivalent vægt</a:t>
            </a:r>
            <a:r>
              <a:rPr lang="en-US" baseline="0"/>
              <a:t>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y = 0,18421x - 290,81056</a:t>
                    </a:r>
                    <a:br>
                      <a:rPr lang="en-US" sz="1050" baseline="0">
                        <a:solidFill>
                          <a:schemeClr val="bg1"/>
                        </a:solidFill>
                      </a:rPr>
                    </a:b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R² = 0,97792</a:t>
                    </a:r>
                    <a:endParaRPr lang="en-US" sz="1050">
                      <a:solidFill>
                        <a:schemeClr val="bg1"/>
                      </a:solidFill>
                    </a:endParaRPr>
                  </a:p>
                </c:rich>
              </c:tx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Målinger!$W$17:$W$25</c:f>
              <c:numCache>
                <c:formatCode>General</c:formatCode>
                <c:ptCount val="9"/>
                <c:pt idx="0">
                  <c:v>3612</c:v>
                </c:pt>
                <c:pt idx="1">
                  <c:v>3552</c:v>
                </c:pt>
                <c:pt idx="2">
                  <c:v>3563</c:v>
                </c:pt>
                <c:pt idx="3">
                  <c:v>3377</c:v>
                </c:pt>
                <c:pt idx="4">
                  <c:v>3282</c:v>
                </c:pt>
                <c:pt idx="5">
                  <c:v>3295</c:v>
                </c:pt>
                <c:pt idx="6">
                  <c:v>2940</c:v>
                </c:pt>
                <c:pt idx="7">
                  <c:v>2949</c:v>
                </c:pt>
                <c:pt idx="8">
                  <c:v>2914</c:v>
                </c:pt>
              </c:numCache>
            </c:numRef>
          </c:xVal>
          <c:yVal>
            <c:numRef>
              <c:f>Målinger!$V$17:$V$25</c:f>
              <c:numCache>
                <c:formatCode>General</c:formatCode>
                <c:ptCount val="9"/>
                <c:pt idx="0">
                  <c:v>384</c:v>
                </c:pt>
                <c:pt idx="1">
                  <c:v>370</c:v>
                </c:pt>
                <c:pt idx="2">
                  <c:v>360</c:v>
                </c:pt>
                <c:pt idx="3">
                  <c:v>320</c:v>
                </c:pt>
                <c:pt idx="4">
                  <c:v>315</c:v>
                </c:pt>
                <c:pt idx="5">
                  <c:v>310</c:v>
                </c:pt>
                <c:pt idx="6">
                  <c:v>260</c:v>
                </c:pt>
                <c:pt idx="7">
                  <c:v>245</c:v>
                </c:pt>
                <c:pt idx="8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63-4BBA-A377-35B80F2A8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[g]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Ækvivalent</a:t>
            </a:r>
            <a:r>
              <a:rPr lang="en-US" baseline="0"/>
              <a:t> vægt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Målinger!$AA$17:$AA$26</c:f>
              <c:numCache>
                <c:formatCode>General</c:formatCode>
                <c:ptCount val="10"/>
                <c:pt idx="0">
                  <c:v>3566</c:v>
                </c:pt>
                <c:pt idx="1">
                  <c:v>3471</c:v>
                </c:pt>
                <c:pt idx="2">
                  <c:v>3499</c:v>
                </c:pt>
                <c:pt idx="3">
                  <c:v>3405</c:v>
                </c:pt>
                <c:pt idx="4">
                  <c:v>3317</c:v>
                </c:pt>
                <c:pt idx="5">
                  <c:v>3286</c:v>
                </c:pt>
                <c:pt idx="6">
                  <c:v>3236</c:v>
                </c:pt>
                <c:pt idx="7">
                  <c:v>2941</c:v>
                </c:pt>
                <c:pt idx="8">
                  <c:v>2870</c:v>
                </c:pt>
                <c:pt idx="9">
                  <c:v>2842</c:v>
                </c:pt>
              </c:numCache>
            </c:numRef>
          </c:xVal>
          <c:yVal>
            <c:numRef>
              <c:f>Målinger!$Z$17:$Z$26</c:f>
              <c:numCache>
                <c:formatCode>General</c:formatCode>
                <c:ptCount val="10"/>
                <c:pt idx="0">
                  <c:v>360</c:v>
                </c:pt>
                <c:pt idx="1">
                  <c:v>345</c:v>
                </c:pt>
                <c:pt idx="2">
                  <c:v>352</c:v>
                </c:pt>
                <c:pt idx="3">
                  <c:v>320</c:v>
                </c:pt>
                <c:pt idx="4">
                  <c:v>304</c:v>
                </c:pt>
                <c:pt idx="5">
                  <c:v>296</c:v>
                </c:pt>
                <c:pt idx="6">
                  <c:v>300</c:v>
                </c:pt>
                <c:pt idx="7">
                  <c:v>235</c:v>
                </c:pt>
                <c:pt idx="8">
                  <c:v>225</c:v>
                </c:pt>
                <c:pt idx="9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F-431E-99E1-646D212BD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[g]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Strømstyrke</a:t>
            </a:r>
            <a:r>
              <a:rPr lang="en-US" baseline="0"/>
              <a:t>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0,00155x - 2,26616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0,99540</a:t>
                    </a:r>
                    <a:endParaRPr lang="en-US" sz="1200"/>
                  </a:p>
                </c:rich>
              </c:tx>
              <c:numFmt formatCode="#,##0.00000" sourceLinked="0"/>
              <c:spPr>
                <a:solidFill>
                  <a:schemeClr val="bg1">
                    <a:lumMod val="8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Målinger!$AA$5:$AA$13</c:f>
              <c:numCache>
                <c:formatCode>General</c:formatCode>
                <c:ptCount val="9"/>
                <c:pt idx="0">
                  <c:v>3865</c:v>
                </c:pt>
                <c:pt idx="1">
                  <c:v>3820</c:v>
                </c:pt>
                <c:pt idx="2">
                  <c:v>3759</c:v>
                </c:pt>
                <c:pt idx="3">
                  <c:v>3577</c:v>
                </c:pt>
                <c:pt idx="4">
                  <c:v>3500</c:v>
                </c:pt>
                <c:pt idx="5">
                  <c:v>3475</c:v>
                </c:pt>
                <c:pt idx="6">
                  <c:v>3045</c:v>
                </c:pt>
                <c:pt idx="7">
                  <c:v>2995</c:v>
                </c:pt>
                <c:pt idx="8">
                  <c:v>3011</c:v>
                </c:pt>
              </c:numCache>
            </c:numRef>
          </c:xVal>
          <c:yVal>
            <c:numRef>
              <c:f>Målinger!$Y$5:$Y$13</c:f>
              <c:numCache>
                <c:formatCode>General</c:formatCode>
                <c:ptCount val="9"/>
                <c:pt idx="0">
                  <c:v>3.75</c:v>
                </c:pt>
                <c:pt idx="1">
                  <c:v>3.66</c:v>
                </c:pt>
                <c:pt idx="2">
                  <c:v>3.6</c:v>
                </c:pt>
                <c:pt idx="3">
                  <c:v>3.2</c:v>
                </c:pt>
                <c:pt idx="4">
                  <c:v>3.15</c:v>
                </c:pt>
                <c:pt idx="5">
                  <c:v>3.1</c:v>
                </c:pt>
                <c:pt idx="6">
                  <c:v>2.44</c:v>
                </c:pt>
                <c:pt idx="7">
                  <c:v>2.42</c:v>
                </c:pt>
                <c:pt idx="8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8F-49BD-9DE8-6DB0AB576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Strømstyrke</a:t>
                </a:r>
                <a:r>
                  <a:rPr lang="da-DK" sz="1400" baseline="0"/>
                  <a:t> [A]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Målinger!$W$17:$W$25</c:f>
              <c:numCache>
                <c:formatCode>General</c:formatCode>
                <c:ptCount val="9"/>
                <c:pt idx="0">
                  <c:v>3612</c:v>
                </c:pt>
                <c:pt idx="1">
                  <c:v>3552</c:v>
                </c:pt>
                <c:pt idx="2">
                  <c:v>3563</c:v>
                </c:pt>
                <c:pt idx="3">
                  <c:v>3377</c:v>
                </c:pt>
                <c:pt idx="4">
                  <c:v>3282</c:v>
                </c:pt>
                <c:pt idx="5">
                  <c:v>3295</c:v>
                </c:pt>
                <c:pt idx="6">
                  <c:v>2940</c:v>
                </c:pt>
                <c:pt idx="7">
                  <c:v>2949</c:v>
                </c:pt>
                <c:pt idx="8">
                  <c:v>2914</c:v>
                </c:pt>
              </c:numCache>
            </c:numRef>
          </c:xVal>
          <c:yVal>
            <c:numRef>
              <c:f>Målinger!$U$17:$U$25</c:f>
              <c:numCache>
                <c:formatCode>General</c:formatCode>
                <c:ptCount val="9"/>
                <c:pt idx="0">
                  <c:v>5.3</c:v>
                </c:pt>
                <c:pt idx="1">
                  <c:v>5.3</c:v>
                </c:pt>
                <c:pt idx="2">
                  <c:v>5.25</c:v>
                </c:pt>
                <c:pt idx="3">
                  <c:v>4.88</c:v>
                </c:pt>
                <c:pt idx="4">
                  <c:v>4.84</c:v>
                </c:pt>
                <c:pt idx="5">
                  <c:v>4.84</c:v>
                </c:pt>
                <c:pt idx="6">
                  <c:v>4.0999999999999996</c:v>
                </c:pt>
                <c:pt idx="7">
                  <c:v>4.08</c:v>
                </c:pt>
                <c:pt idx="8">
                  <c:v>4.05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B7-4DE2-8A5A-C80B4B737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Strømstyrke</a:t>
            </a:r>
            <a:r>
              <a:rPr lang="en-US" baseline="0"/>
              <a:t>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Målinger!$AA$17:$AA$26</c:f>
              <c:numCache>
                <c:formatCode>General</c:formatCode>
                <c:ptCount val="10"/>
                <c:pt idx="0">
                  <c:v>3566</c:v>
                </c:pt>
                <c:pt idx="1">
                  <c:v>3471</c:v>
                </c:pt>
                <c:pt idx="2">
                  <c:v>3499</c:v>
                </c:pt>
                <c:pt idx="3">
                  <c:v>3405</c:v>
                </c:pt>
                <c:pt idx="4">
                  <c:v>3317</c:v>
                </c:pt>
                <c:pt idx="5">
                  <c:v>3286</c:v>
                </c:pt>
                <c:pt idx="6">
                  <c:v>3236</c:v>
                </c:pt>
                <c:pt idx="7">
                  <c:v>2941</c:v>
                </c:pt>
                <c:pt idx="8">
                  <c:v>2870</c:v>
                </c:pt>
                <c:pt idx="9">
                  <c:v>2842</c:v>
                </c:pt>
              </c:numCache>
            </c:numRef>
          </c:xVal>
          <c:yVal>
            <c:numRef>
              <c:f>Målinger!$Y$17:$Y$26</c:f>
              <c:numCache>
                <c:formatCode>General</c:formatCode>
                <c:ptCount val="10"/>
                <c:pt idx="0">
                  <c:v>3.23</c:v>
                </c:pt>
                <c:pt idx="1">
                  <c:v>3.17</c:v>
                </c:pt>
                <c:pt idx="2">
                  <c:v>3.18</c:v>
                </c:pt>
                <c:pt idx="3">
                  <c:v>2.91</c:v>
                </c:pt>
                <c:pt idx="4">
                  <c:v>2.88</c:v>
                </c:pt>
                <c:pt idx="5">
                  <c:v>2.85</c:v>
                </c:pt>
                <c:pt idx="6">
                  <c:v>2.84</c:v>
                </c:pt>
                <c:pt idx="7">
                  <c:v>2.35</c:v>
                </c:pt>
                <c:pt idx="8">
                  <c:v>2.2999999999999998</c:v>
                </c:pt>
                <c:pt idx="9">
                  <c:v>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56-42DC-A5A0-95668636C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Strømstyrke</a:t>
                </a:r>
                <a:r>
                  <a:rPr lang="da-DK" sz="1400" baseline="0"/>
                  <a:t> [A]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8913016732283467E-2"/>
                  <c:y val="0.40579852223898794"/>
                </c:manualLayout>
              </c:layout>
              <c:numFmt formatCode="#,##0.00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Målinger!$W$43:$W$50</c:f>
              <c:numCache>
                <c:formatCode>General</c:formatCode>
                <c:ptCount val="8"/>
                <c:pt idx="0">
                  <c:v>3400</c:v>
                </c:pt>
                <c:pt idx="1">
                  <c:v>3350</c:v>
                </c:pt>
                <c:pt idx="2">
                  <c:v>3355</c:v>
                </c:pt>
                <c:pt idx="3">
                  <c:v>3250</c:v>
                </c:pt>
                <c:pt idx="4">
                  <c:v>3209</c:v>
                </c:pt>
                <c:pt idx="5">
                  <c:v>3170</c:v>
                </c:pt>
                <c:pt idx="6">
                  <c:v>2909</c:v>
                </c:pt>
                <c:pt idx="7">
                  <c:v>2835</c:v>
                </c:pt>
              </c:numCache>
            </c:numRef>
          </c:xVal>
          <c:yVal>
            <c:numRef>
              <c:f>Målinger!$U$43:$U$50</c:f>
              <c:numCache>
                <c:formatCode>General</c:formatCode>
                <c:ptCount val="8"/>
                <c:pt idx="0">
                  <c:v>4.88</c:v>
                </c:pt>
                <c:pt idx="1">
                  <c:v>4.82</c:v>
                </c:pt>
                <c:pt idx="2">
                  <c:v>4.8</c:v>
                </c:pt>
                <c:pt idx="3">
                  <c:v>4.5999999999999996</c:v>
                </c:pt>
                <c:pt idx="4">
                  <c:v>4.5</c:v>
                </c:pt>
                <c:pt idx="5">
                  <c:v>4.54</c:v>
                </c:pt>
                <c:pt idx="6">
                  <c:v>3.95</c:v>
                </c:pt>
                <c:pt idx="7">
                  <c:v>3.88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50-40BC-877A-BE1D665F6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Strømstyrke</a:t>
            </a:r>
            <a:r>
              <a:rPr lang="en-US" baseline="0"/>
              <a:t>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>
        <c:manualLayout>
          <c:layoutTarget val="inner"/>
          <c:xMode val="edge"/>
          <c:yMode val="edge"/>
          <c:x val="0.1281959782328301"/>
          <c:y val="0.1202396749859071"/>
          <c:w val="0.73888670507450216"/>
          <c:h val="0.74093053539331777"/>
        </c:manualLayout>
      </c:layout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0202808112324488E-2"/>
                  <c:y val="0.39579327050991425"/>
                </c:manualLayout>
              </c:layout>
              <c:numFmt formatCode="#,##0.0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Målinger!$AA$43:$AA$51</c:f>
              <c:numCache>
                <c:formatCode>General</c:formatCode>
                <c:ptCount val="9"/>
                <c:pt idx="0">
                  <c:v>3409</c:v>
                </c:pt>
                <c:pt idx="1">
                  <c:v>3325</c:v>
                </c:pt>
                <c:pt idx="2">
                  <c:v>3280</c:v>
                </c:pt>
                <c:pt idx="3">
                  <c:v>3250</c:v>
                </c:pt>
                <c:pt idx="4">
                  <c:v>3220</c:v>
                </c:pt>
                <c:pt idx="5">
                  <c:v>3160</c:v>
                </c:pt>
                <c:pt idx="6">
                  <c:v>2830</c:v>
                </c:pt>
                <c:pt idx="7">
                  <c:v>2775</c:v>
                </c:pt>
                <c:pt idx="8">
                  <c:v>2760</c:v>
                </c:pt>
              </c:numCache>
            </c:numRef>
          </c:xVal>
          <c:yVal>
            <c:numRef>
              <c:f>Målinger!$Y$43:$Y$51</c:f>
              <c:numCache>
                <c:formatCode>General</c:formatCode>
                <c:ptCount val="9"/>
                <c:pt idx="0">
                  <c:v>3</c:v>
                </c:pt>
                <c:pt idx="1">
                  <c:v>2.95</c:v>
                </c:pt>
                <c:pt idx="2">
                  <c:v>2.9</c:v>
                </c:pt>
                <c:pt idx="3">
                  <c:v>2.75</c:v>
                </c:pt>
                <c:pt idx="4">
                  <c:v>2.7</c:v>
                </c:pt>
                <c:pt idx="5">
                  <c:v>2.69</c:v>
                </c:pt>
                <c:pt idx="6">
                  <c:v>2.2000000000000002</c:v>
                </c:pt>
                <c:pt idx="7">
                  <c:v>2.17</c:v>
                </c:pt>
                <c:pt idx="8">
                  <c:v>2.16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0F-4786-AEC3-F27164470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Strømstyrke</a:t>
                </a:r>
                <a:r>
                  <a:rPr lang="da-DK" sz="1400" baseline="0"/>
                  <a:t> [A]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Vægt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Målinger!$W$43:$W$51</c:f>
              <c:numCache>
                <c:formatCode>General</c:formatCode>
                <c:ptCount val="9"/>
                <c:pt idx="0">
                  <c:v>3400</c:v>
                </c:pt>
                <c:pt idx="1">
                  <c:v>3350</c:v>
                </c:pt>
                <c:pt idx="2">
                  <c:v>3355</c:v>
                </c:pt>
                <c:pt idx="3">
                  <c:v>3250</c:v>
                </c:pt>
                <c:pt idx="4">
                  <c:v>3209</c:v>
                </c:pt>
                <c:pt idx="5">
                  <c:v>3170</c:v>
                </c:pt>
                <c:pt idx="6">
                  <c:v>2909</c:v>
                </c:pt>
                <c:pt idx="7">
                  <c:v>2835</c:v>
                </c:pt>
                <c:pt idx="8">
                  <c:v>2805</c:v>
                </c:pt>
              </c:numCache>
            </c:numRef>
          </c:xVal>
          <c:yVal>
            <c:numRef>
              <c:f>Målinger!$V$43:$V$51</c:f>
              <c:numCache>
                <c:formatCode>0.00</c:formatCode>
                <c:ptCount val="9"/>
                <c:pt idx="0">
                  <c:v>41.5</c:v>
                </c:pt>
                <c:pt idx="1">
                  <c:v>39.4</c:v>
                </c:pt>
                <c:pt idx="2">
                  <c:v>37.5</c:v>
                </c:pt>
                <c:pt idx="3">
                  <c:v>25</c:v>
                </c:pt>
                <c:pt idx="4">
                  <c:v>22.5</c:v>
                </c:pt>
                <c:pt idx="5">
                  <c:v>21.5</c:v>
                </c:pt>
                <c:pt idx="6">
                  <c:v>25.5</c:v>
                </c:pt>
                <c:pt idx="7">
                  <c:v>21.3</c:v>
                </c:pt>
                <c:pt idx="8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8F-4E92-B9BB-326F3FF9E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Vægt</a:t>
            </a:r>
            <a:r>
              <a:rPr lang="en-US" baseline="0"/>
              <a:t>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Målinger!$AA$43:$AA$51</c:f>
              <c:numCache>
                <c:formatCode>General</c:formatCode>
                <c:ptCount val="9"/>
                <c:pt idx="0">
                  <c:v>3409</c:v>
                </c:pt>
                <c:pt idx="1">
                  <c:v>3325</c:v>
                </c:pt>
                <c:pt idx="2">
                  <c:v>3280</c:v>
                </c:pt>
                <c:pt idx="3">
                  <c:v>3250</c:v>
                </c:pt>
                <c:pt idx="4">
                  <c:v>3220</c:v>
                </c:pt>
                <c:pt idx="5">
                  <c:v>3160</c:v>
                </c:pt>
                <c:pt idx="6">
                  <c:v>2830</c:v>
                </c:pt>
                <c:pt idx="7">
                  <c:v>2775</c:v>
                </c:pt>
                <c:pt idx="8">
                  <c:v>2760</c:v>
                </c:pt>
              </c:numCache>
            </c:numRef>
          </c:xVal>
          <c:yVal>
            <c:numRef>
              <c:f>Målinger!$Z$43:$Z$51</c:f>
              <c:numCache>
                <c:formatCode>General</c:formatCode>
                <c:ptCount val="9"/>
                <c:pt idx="0">
                  <c:v>38</c:v>
                </c:pt>
                <c:pt idx="1">
                  <c:v>35</c:v>
                </c:pt>
                <c:pt idx="2">
                  <c:v>34</c:v>
                </c:pt>
                <c:pt idx="3">
                  <c:v>28.5</c:v>
                </c:pt>
                <c:pt idx="4">
                  <c:v>26.9</c:v>
                </c:pt>
                <c:pt idx="5">
                  <c:v>28</c:v>
                </c:pt>
                <c:pt idx="6">
                  <c:v>12.5</c:v>
                </c:pt>
                <c:pt idx="7">
                  <c:v>10.199999999999999</c:v>
                </c:pt>
                <c:pt idx="8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27-4DAB-9EDD-528440ADC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Målinger!$W$4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12475393700788E-3"/>
                  <c:y val="0.3925554692771495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>
                        <a:solidFill>
                          <a:schemeClr val="bg1"/>
                        </a:solidFill>
                      </a:rPr>
                      <a:t>y = 0,0017271x - 0,9937473</a:t>
                    </a:r>
                    <a:br>
                      <a:rPr lang="en-US" sz="1200" baseline="0">
                        <a:solidFill>
                          <a:schemeClr val="bg1"/>
                        </a:solidFill>
                      </a:rPr>
                    </a:br>
                    <a:r>
                      <a:rPr lang="en-US" sz="1200" baseline="0">
                        <a:solidFill>
                          <a:schemeClr val="bg1"/>
                        </a:solidFill>
                      </a:rPr>
                      <a:t>R² = 0,9972663</a:t>
                    </a:r>
                    <a:endParaRPr lang="en-US" sz="1200">
                      <a:solidFill>
                        <a:schemeClr val="bg1"/>
                      </a:solidFill>
                    </a:endParaRPr>
                  </a:p>
                </c:rich>
              </c:tx>
              <c:numFmt formatCode="#,##0.00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Målinger!$V$90:$V$98</c:f>
              <c:numCache>
                <c:formatCode>General</c:formatCode>
                <c:ptCount val="9"/>
                <c:pt idx="0">
                  <c:v>3517</c:v>
                </c:pt>
                <c:pt idx="1">
                  <c:v>3412</c:v>
                </c:pt>
                <c:pt idx="2">
                  <c:v>3310</c:v>
                </c:pt>
                <c:pt idx="3">
                  <c:v>3150</c:v>
                </c:pt>
                <c:pt idx="4">
                  <c:v>3070</c:v>
                </c:pt>
                <c:pt idx="5">
                  <c:v>3000</c:v>
                </c:pt>
                <c:pt idx="6">
                  <c:v>2800</c:v>
                </c:pt>
                <c:pt idx="7">
                  <c:v>2720</c:v>
                </c:pt>
                <c:pt idx="8">
                  <c:v>2682</c:v>
                </c:pt>
              </c:numCache>
            </c:numRef>
          </c:xVal>
          <c:yVal>
            <c:numRef>
              <c:f>Målinger!$W$90:$W$98</c:f>
              <c:numCache>
                <c:formatCode>General</c:formatCode>
                <c:ptCount val="9"/>
                <c:pt idx="0">
                  <c:v>5.05</c:v>
                </c:pt>
                <c:pt idx="1">
                  <c:v>4.9000000000000004</c:v>
                </c:pt>
                <c:pt idx="2">
                  <c:v>4.7300000000000004</c:v>
                </c:pt>
                <c:pt idx="3">
                  <c:v>4.5</c:v>
                </c:pt>
                <c:pt idx="4">
                  <c:v>4.3</c:v>
                </c:pt>
                <c:pt idx="5">
                  <c:v>4.2</c:v>
                </c:pt>
                <c:pt idx="6">
                  <c:v>3.8</c:v>
                </c:pt>
                <c:pt idx="7">
                  <c:v>3.7</c:v>
                </c:pt>
                <c:pt idx="8">
                  <c:v>3.65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DC-4A95-A6CB-C81E14114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0</xdr:colOff>
      <xdr:row>1</xdr:row>
      <xdr:rowOff>0</xdr:rowOff>
    </xdr:from>
    <xdr:to>
      <xdr:col>36</xdr:col>
      <xdr:colOff>594360</xdr:colOff>
      <xdr:row>17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918974-C807-409F-8A98-010856669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190500</xdr:colOff>
      <xdr:row>1</xdr:row>
      <xdr:rowOff>22860</xdr:rowOff>
    </xdr:from>
    <xdr:to>
      <xdr:col>45</xdr:col>
      <xdr:colOff>182880</xdr:colOff>
      <xdr:row>18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C84842-BA78-4964-9C0A-A6A17CA41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0</xdr:colOff>
      <xdr:row>19</xdr:row>
      <xdr:rowOff>0</xdr:rowOff>
    </xdr:from>
    <xdr:to>
      <xdr:col>37</xdr:col>
      <xdr:colOff>0</xdr:colOff>
      <xdr:row>36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B3F4BB-17A4-4650-A5CE-9094D4DAA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205740</xdr:colOff>
      <xdr:row>19</xdr:row>
      <xdr:rowOff>0</xdr:rowOff>
    </xdr:from>
    <xdr:to>
      <xdr:col>45</xdr:col>
      <xdr:colOff>213360</xdr:colOff>
      <xdr:row>36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A1C660-9182-4120-96B5-786489344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601980</xdr:colOff>
      <xdr:row>39</xdr:row>
      <xdr:rowOff>129540</xdr:rowOff>
    </xdr:from>
    <xdr:to>
      <xdr:col>36</xdr:col>
      <xdr:colOff>601980</xdr:colOff>
      <xdr:row>57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17969F8-30EC-4BE0-8323-C740589470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259080</xdr:colOff>
      <xdr:row>39</xdr:row>
      <xdr:rowOff>144780</xdr:rowOff>
    </xdr:from>
    <xdr:to>
      <xdr:col>45</xdr:col>
      <xdr:colOff>266700</xdr:colOff>
      <xdr:row>57</xdr:row>
      <xdr:rowOff>45720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263EA65-69E2-41D9-8109-CE6FDE7DA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0</xdr:colOff>
      <xdr:row>58</xdr:row>
      <xdr:rowOff>137160</xdr:rowOff>
    </xdr:from>
    <xdr:to>
      <xdr:col>37</xdr:col>
      <xdr:colOff>0</xdr:colOff>
      <xdr:row>76</xdr:row>
      <xdr:rowOff>106680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7518E44-3319-4F4C-B872-D72C5DB296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243840</xdr:colOff>
      <xdr:row>58</xdr:row>
      <xdr:rowOff>167640</xdr:rowOff>
    </xdr:from>
    <xdr:to>
      <xdr:col>45</xdr:col>
      <xdr:colOff>243840</xdr:colOff>
      <xdr:row>76</xdr:row>
      <xdr:rowOff>137160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BDEA423-0AA8-4A1B-89B4-4D79CD2AB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0</xdr:colOff>
      <xdr:row>87</xdr:row>
      <xdr:rowOff>0</xdr:rowOff>
    </xdr:from>
    <xdr:to>
      <xdr:col>36</xdr:col>
      <xdr:colOff>0</xdr:colOff>
      <xdr:row>108</xdr:row>
      <xdr:rowOff>41082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53DA04-E8FA-472D-98AE-FF3E2BEE2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37</xdr:col>
      <xdr:colOff>0</xdr:colOff>
      <xdr:row>87</xdr:row>
      <xdr:rowOff>0</xdr:rowOff>
    </xdr:from>
    <xdr:to>
      <xdr:col>45</xdr:col>
      <xdr:colOff>7620</xdr:colOff>
      <xdr:row>108</xdr:row>
      <xdr:rowOff>33462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E24029A-9C34-4F6A-841D-E3D4A9AE0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0</xdr:colOff>
      <xdr:row>110</xdr:row>
      <xdr:rowOff>0</xdr:rowOff>
    </xdr:from>
    <xdr:to>
      <xdr:col>36</xdr:col>
      <xdr:colOff>0</xdr:colOff>
      <xdr:row>127</xdr:row>
      <xdr:rowOff>148424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7283B6B-D5D8-4EDE-9F44-4C4413C28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37</xdr:col>
      <xdr:colOff>0</xdr:colOff>
      <xdr:row>110</xdr:row>
      <xdr:rowOff>0</xdr:rowOff>
    </xdr:from>
    <xdr:to>
      <xdr:col>45</xdr:col>
      <xdr:colOff>0</xdr:colOff>
      <xdr:row>127</xdr:row>
      <xdr:rowOff>148424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4762985-D56D-4673-8EEF-07BA1FB04D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45</xdr:col>
      <xdr:colOff>381000</xdr:colOff>
      <xdr:row>1</xdr:row>
      <xdr:rowOff>7620</xdr:rowOff>
    </xdr:from>
    <xdr:to>
      <xdr:col>49</xdr:col>
      <xdr:colOff>731520</xdr:colOff>
      <xdr:row>18</xdr:row>
      <xdr:rowOff>22860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F378FED-DEFB-4AF6-AE2C-76E3DA2E9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1</xdr:row>
      <xdr:rowOff>0</xdr:rowOff>
    </xdr:from>
    <xdr:to>
      <xdr:col>54</xdr:col>
      <xdr:colOff>373380</xdr:colOff>
      <xdr:row>18</xdr:row>
      <xdr:rowOff>22860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1812180-8A09-4C16-B208-E75FF05EA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45</xdr:col>
      <xdr:colOff>396240</xdr:colOff>
      <xdr:row>19</xdr:row>
      <xdr:rowOff>15240</xdr:rowOff>
    </xdr:from>
    <xdr:to>
      <xdr:col>49</xdr:col>
      <xdr:colOff>624840</xdr:colOff>
      <xdr:row>36</xdr:row>
      <xdr:rowOff>22860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8475615-989D-44F2-B973-5771A28DF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50</xdr:col>
      <xdr:colOff>0</xdr:colOff>
      <xdr:row>19</xdr:row>
      <xdr:rowOff>0</xdr:rowOff>
    </xdr:from>
    <xdr:to>
      <xdr:col>54</xdr:col>
      <xdr:colOff>381000</xdr:colOff>
      <xdr:row>36</xdr:row>
      <xdr:rowOff>60960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8BC6316-AC08-4101-8D0E-F9CD84794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CM159"/>
  <sheetViews>
    <sheetView tabSelected="1" topLeftCell="BS11" zoomScaleNormal="100" workbookViewId="0">
      <selection activeCell="CK14" sqref="CK14"/>
    </sheetView>
  </sheetViews>
  <sheetFormatPr defaultRowHeight="14.4" x14ac:dyDescent="0.3"/>
  <cols>
    <col min="2" max="2" width="11.33203125" customWidth="1"/>
    <col min="3" max="3" width="10.5546875" customWidth="1"/>
    <col min="5" max="5" width="9.88671875" customWidth="1"/>
    <col min="6" max="6" width="10.33203125" customWidth="1"/>
    <col min="7" max="7" width="10" customWidth="1"/>
    <col min="8" max="8" width="10.33203125" bestFit="1" customWidth="1"/>
    <col min="12" max="12" width="10.33203125" bestFit="1" customWidth="1"/>
    <col min="13" max="13" width="20" customWidth="1"/>
    <col min="14" max="14" width="11.109375" customWidth="1"/>
    <col min="16" max="16" width="10.88671875" customWidth="1"/>
    <col min="18" max="18" width="10.33203125" bestFit="1" customWidth="1"/>
    <col min="47" max="49" width="13.6640625" customWidth="1"/>
    <col min="50" max="50" width="11.6640625" customWidth="1"/>
    <col min="51" max="51" width="13.6640625" customWidth="1"/>
    <col min="52" max="52" width="18.33203125" customWidth="1"/>
    <col min="53" max="53" width="13.6640625" customWidth="1"/>
    <col min="54" max="54" width="13.88671875" customWidth="1"/>
    <col min="55" max="55" width="10.33203125" customWidth="1"/>
    <col min="56" max="56" width="15" customWidth="1"/>
    <col min="58" max="58" width="11.33203125" customWidth="1"/>
    <col min="59" max="60" width="10.6640625" customWidth="1"/>
    <col min="62" max="62" width="12.6640625" customWidth="1"/>
    <col min="63" max="63" width="10.5546875" customWidth="1"/>
    <col min="64" max="64" width="11.33203125" customWidth="1"/>
    <col min="65" max="65" width="12.44140625" customWidth="1"/>
    <col min="67" max="67" width="10.6640625" customWidth="1"/>
    <col min="69" max="69" width="11.6640625" customWidth="1"/>
    <col min="71" max="71" width="11.33203125" customWidth="1"/>
    <col min="72" max="72" width="12.33203125" customWidth="1"/>
    <col min="73" max="73" width="10.88671875" customWidth="1"/>
    <col min="74" max="74" width="9.5546875" customWidth="1"/>
    <col min="75" max="75" width="11.5546875" customWidth="1"/>
    <col min="76" max="76" width="12.109375" customWidth="1"/>
    <col min="82" max="82" width="14.6640625" customWidth="1"/>
    <col min="83" max="83" width="13.6640625" customWidth="1"/>
    <col min="84" max="84" width="10.77734375" customWidth="1"/>
    <col min="85" max="85" width="10.88671875" customWidth="1"/>
    <col min="86" max="86" width="9.21875" customWidth="1"/>
  </cols>
  <sheetData>
    <row r="1" spans="1:87" x14ac:dyDescent="0.3">
      <c r="A1" t="s">
        <v>16</v>
      </c>
      <c r="B1" t="s">
        <v>12</v>
      </c>
      <c r="C1" t="s">
        <v>13</v>
      </c>
      <c r="K1" t="s">
        <v>17</v>
      </c>
      <c r="L1" t="s">
        <v>14</v>
      </c>
      <c r="M1" t="s">
        <v>13</v>
      </c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</row>
    <row r="2" spans="1:87" ht="21" x14ac:dyDescent="0.4">
      <c r="A2" s="1" t="s">
        <v>0</v>
      </c>
      <c r="B2" s="1" t="s">
        <v>1</v>
      </c>
      <c r="C2" s="1" t="s">
        <v>2</v>
      </c>
      <c r="F2" s="1" t="s">
        <v>3</v>
      </c>
      <c r="G2" s="1" t="s">
        <v>1</v>
      </c>
      <c r="H2" s="1" t="s">
        <v>2</v>
      </c>
      <c r="K2" s="1" t="s">
        <v>0</v>
      </c>
      <c r="L2" s="1" t="s">
        <v>1</v>
      </c>
      <c r="M2" s="1" t="s">
        <v>2</v>
      </c>
      <c r="P2" s="1" t="s">
        <v>3</v>
      </c>
      <c r="Q2" s="1" t="s">
        <v>1</v>
      </c>
      <c r="R2" s="1" t="s">
        <v>2</v>
      </c>
      <c r="U2" s="14" t="s">
        <v>54</v>
      </c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21" t="s">
        <v>28</v>
      </c>
      <c r="BE2" s="21"/>
      <c r="BF2" s="21"/>
      <c r="BG2" s="20"/>
      <c r="BH2" s="20"/>
      <c r="BI2" s="20"/>
      <c r="BJ2" s="20"/>
      <c r="BK2" s="20"/>
      <c r="BL2" s="20"/>
      <c r="BM2" s="20"/>
      <c r="BN2" s="41"/>
      <c r="BO2" s="38" t="s">
        <v>29</v>
      </c>
      <c r="BP2" s="37"/>
      <c r="BQ2" s="37"/>
      <c r="BR2" s="37"/>
      <c r="BS2" s="37"/>
      <c r="BT2" s="37"/>
      <c r="BU2" s="37"/>
      <c r="BV2" s="37"/>
      <c r="BW2" s="37"/>
      <c r="BX2" s="13"/>
      <c r="BY2" s="13"/>
      <c r="BZ2" s="13"/>
    </row>
    <row r="3" spans="1:87" ht="57.6" x14ac:dyDescent="0.3">
      <c r="A3" s="10">
        <v>6</v>
      </c>
      <c r="B3" s="1">
        <v>146</v>
      </c>
      <c r="C3" s="1">
        <v>3830</v>
      </c>
      <c r="F3" s="1">
        <v>3.75</v>
      </c>
      <c r="G3" s="1">
        <v>145</v>
      </c>
      <c r="H3" s="1">
        <v>3865</v>
      </c>
      <c r="K3" s="1">
        <v>5.3</v>
      </c>
      <c r="L3" s="1">
        <v>130</v>
      </c>
      <c r="M3" s="1">
        <v>3577</v>
      </c>
      <c r="P3" s="1">
        <v>3.2</v>
      </c>
      <c r="Q3" s="1">
        <v>128</v>
      </c>
      <c r="R3" s="1">
        <v>3577</v>
      </c>
      <c r="U3" s="25" t="s">
        <v>24</v>
      </c>
      <c r="V3" s="25"/>
      <c r="W3" s="25"/>
      <c r="X3" s="25"/>
      <c r="Y3" s="25"/>
      <c r="Z3" s="25"/>
      <c r="AA3" s="25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32"/>
      <c r="BE3" s="32" t="s">
        <v>39</v>
      </c>
      <c r="BF3" s="32" t="s">
        <v>40</v>
      </c>
      <c r="BG3" s="32" t="s">
        <v>41</v>
      </c>
      <c r="BH3" s="32" t="s">
        <v>58</v>
      </c>
      <c r="BI3" s="12" t="s">
        <v>59</v>
      </c>
      <c r="BJ3" s="30" t="s">
        <v>60</v>
      </c>
      <c r="BK3" s="30" t="s">
        <v>63</v>
      </c>
      <c r="BL3" s="12" t="s">
        <v>50</v>
      </c>
      <c r="BM3" s="12" t="s">
        <v>51</v>
      </c>
      <c r="BN3" s="41"/>
      <c r="BO3" s="32"/>
      <c r="BP3" s="33" t="s">
        <v>42</v>
      </c>
      <c r="BQ3" s="33" t="s">
        <v>43</v>
      </c>
      <c r="BR3" s="33" t="s">
        <v>64</v>
      </c>
      <c r="BS3" s="33" t="s">
        <v>59</v>
      </c>
      <c r="BT3" s="33" t="s">
        <v>65</v>
      </c>
      <c r="BU3" s="33" t="s">
        <v>63</v>
      </c>
      <c r="BV3" s="33" t="s">
        <v>50</v>
      </c>
      <c r="BW3" s="33" t="s">
        <v>51</v>
      </c>
      <c r="BX3" s="43"/>
      <c r="BY3" s="13"/>
      <c r="BZ3" s="13"/>
    </row>
    <row r="4" spans="1:87" ht="28.8" x14ac:dyDescent="0.3">
      <c r="A4" s="10">
        <v>5.9</v>
      </c>
      <c r="B4" s="1">
        <v>150</v>
      </c>
      <c r="C4" s="1">
        <v>3917</v>
      </c>
      <c r="F4" s="1">
        <v>3.66</v>
      </c>
      <c r="G4" s="1">
        <v>144</v>
      </c>
      <c r="H4" s="1">
        <v>3820</v>
      </c>
      <c r="K4" s="1">
        <v>5.3</v>
      </c>
      <c r="L4" s="1">
        <v>126</v>
      </c>
      <c r="M4" s="1">
        <v>3603</v>
      </c>
      <c r="P4" s="1">
        <v>3.15</v>
      </c>
      <c r="Q4" s="1">
        <v>118</v>
      </c>
      <c r="R4" s="1">
        <v>3500</v>
      </c>
      <c r="U4" s="19" t="s">
        <v>0</v>
      </c>
      <c r="V4" s="19" t="s">
        <v>1</v>
      </c>
      <c r="W4" s="19" t="s">
        <v>2</v>
      </c>
      <c r="X4" s="13"/>
      <c r="Y4" s="19" t="s">
        <v>3</v>
      </c>
      <c r="Z4" s="19" t="s">
        <v>1</v>
      </c>
      <c r="AA4" s="19" t="s">
        <v>2</v>
      </c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27" t="s">
        <v>55</v>
      </c>
      <c r="BE4" s="27" t="s">
        <v>56</v>
      </c>
      <c r="BF4" s="27" t="s">
        <v>57</v>
      </c>
      <c r="BG4" s="27" t="s">
        <v>34</v>
      </c>
      <c r="BH4" s="27" t="s">
        <v>30</v>
      </c>
      <c r="BI4" s="40" t="s">
        <v>31</v>
      </c>
      <c r="BJ4" s="40" t="s">
        <v>33</v>
      </c>
      <c r="BK4" s="40" t="s">
        <v>35</v>
      </c>
      <c r="BL4" s="40" t="s">
        <v>36</v>
      </c>
      <c r="BM4" s="40" t="s">
        <v>37</v>
      </c>
      <c r="BN4" s="42"/>
      <c r="BO4" s="27" t="s">
        <v>55</v>
      </c>
      <c r="BP4" s="27" t="s">
        <v>56</v>
      </c>
      <c r="BQ4" s="27" t="s">
        <v>57</v>
      </c>
      <c r="BR4" s="27" t="s">
        <v>30</v>
      </c>
      <c r="BS4" s="40" t="s">
        <v>31</v>
      </c>
      <c r="BT4" s="40" t="s">
        <v>33</v>
      </c>
      <c r="BU4" s="40" t="s">
        <v>35</v>
      </c>
      <c r="BV4" s="40" t="s">
        <v>36</v>
      </c>
      <c r="BW4" s="40" t="s">
        <v>37</v>
      </c>
      <c r="BX4" s="44"/>
      <c r="BY4" s="13"/>
      <c r="BZ4" s="13"/>
    </row>
    <row r="5" spans="1:87" x14ac:dyDescent="0.3">
      <c r="A5" s="10">
        <v>6.02</v>
      </c>
      <c r="B5" s="1">
        <v>147</v>
      </c>
      <c r="C5" s="1">
        <v>3900</v>
      </c>
      <c r="F5" s="1">
        <v>3.6</v>
      </c>
      <c r="G5" s="1">
        <v>135</v>
      </c>
      <c r="H5" s="1">
        <v>3759</v>
      </c>
      <c r="K5" s="1">
        <v>5.25</v>
      </c>
      <c r="L5" s="1">
        <v>115</v>
      </c>
      <c r="M5" s="1">
        <v>3525</v>
      </c>
      <c r="P5" s="1">
        <v>3.1</v>
      </c>
      <c r="Q5" s="1">
        <v>114</v>
      </c>
      <c r="R5" s="1">
        <v>3475</v>
      </c>
      <c r="U5" s="23">
        <v>6</v>
      </c>
      <c r="V5" s="19">
        <v>146</v>
      </c>
      <c r="W5" s="19">
        <v>3830</v>
      </c>
      <c r="X5" s="13"/>
      <c r="Y5" s="19">
        <v>3.75</v>
      </c>
      <c r="Z5" s="19">
        <v>145</v>
      </c>
      <c r="AA5" s="19">
        <v>3865</v>
      </c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9">
        <v>1000</v>
      </c>
      <c r="BE5" s="23">
        <f t="shared" ref="BE5:BE36" si="0">0.00205*BD5-1.9899</f>
        <v>6.0100000000000264E-2</v>
      </c>
      <c r="BF5" s="23">
        <f t="shared" ref="BF5:BF36" si="1">0.00155*BD5-2.26616</f>
        <v>-0.71616000000000013</v>
      </c>
      <c r="BG5" s="34">
        <f t="shared" ref="BG5:BG36" si="2">BE5*BF5</f>
        <v>-4.3041216000000194E-2</v>
      </c>
      <c r="BH5" s="13">
        <f>0.06841*BD5-119.87208</f>
        <v>-51.46208</v>
      </c>
      <c r="BI5" s="13">
        <f>9.81*BH5/1000</f>
        <v>-0.50484300479999999</v>
      </c>
      <c r="BJ5" s="13">
        <f t="shared" ref="BJ5:BJ35" si="3">BI5*128/1000</f>
        <v>-6.4619904614399995E-2</v>
      </c>
      <c r="BK5" s="13">
        <f>BJ5*BD5*0.10472</f>
        <v>-6.7669964112199672</v>
      </c>
      <c r="BL5" s="13">
        <f>BE5*BF5</f>
        <v>-4.3041216000000194E-2</v>
      </c>
      <c r="BM5" s="13">
        <f>BK5/BL5</f>
        <v>157.22131110840215</v>
      </c>
      <c r="BN5" s="41"/>
      <c r="BO5" s="19">
        <v>1000</v>
      </c>
      <c r="BP5" s="23">
        <f>0.00187*BO5-1.403</f>
        <v>0.46699999999999986</v>
      </c>
      <c r="BQ5" s="23">
        <f>0.00135*BO5-1.57916</f>
        <v>-0.22915999999999981</v>
      </c>
      <c r="BR5" s="19">
        <f>0.19489*BO5-336.3767</f>
        <v>-141.48670000000001</v>
      </c>
      <c r="BS5" s="19">
        <f t="shared" ref="BS5:BS36" si="4">9.81*BR5/1000</f>
        <v>-1.3879845270000002</v>
      </c>
      <c r="BT5" s="19">
        <f>BS5*(64/192)</f>
        <v>-0.46266150900000003</v>
      </c>
      <c r="BU5" s="19">
        <f t="shared" ref="BU5:BU36" si="5">BT5*BO5*0.10472</f>
        <v>-48.449913222479999</v>
      </c>
      <c r="BV5" s="19">
        <f t="shared" ref="BV5:BV36" si="6">BP5*BQ5</f>
        <v>-0.10701771999999987</v>
      </c>
      <c r="BW5" s="19">
        <f>BU5/BV5</f>
        <v>452.727952179135</v>
      </c>
      <c r="BX5" s="13"/>
      <c r="BY5" s="13"/>
      <c r="BZ5" s="13"/>
    </row>
    <row r="6" spans="1:87" x14ac:dyDescent="0.3">
      <c r="A6" s="10"/>
      <c r="B6" s="1"/>
      <c r="C6" s="1"/>
      <c r="F6" s="1"/>
      <c r="G6" s="1"/>
      <c r="H6" s="1"/>
      <c r="K6" s="1"/>
      <c r="L6" s="1"/>
      <c r="M6" s="1"/>
      <c r="P6" s="1"/>
      <c r="Q6" s="1"/>
      <c r="R6" s="1"/>
      <c r="U6" s="23">
        <v>5.9</v>
      </c>
      <c r="V6" s="19">
        <v>150</v>
      </c>
      <c r="W6" s="19">
        <v>3917</v>
      </c>
      <c r="X6" s="13"/>
      <c r="Y6" s="19">
        <v>3.66</v>
      </c>
      <c r="Z6" s="19">
        <v>144</v>
      </c>
      <c r="AA6" s="19">
        <v>3820</v>
      </c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24">
        <f t="shared" ref="BD6:BD35" si="7">BD5+($BD$36-$BD$5)/(ROW($BD$36)-ROW($BD$5))</f>
        <v>1096.7741935483871</v>
      </c>
      <c r="BE6" s="23">
        <f t="shared" si="0"/>
        <v>0.25848709677419368</v>
      </c>
      <c r="BF6" s="23">
        <f t="shared" si="1"/>
        <v>-0.56616000000000022</v>
      </c>
      <c r="BG6" s="34">
        <f t="shared" si="2"/>
        <v>-0.14634505470967754</v>
      </c>
      <c r="BH6" s="13">
        <f t="shared" ref="BH6:BH36" si="8">0.06841*BD6-119.87208</f>
        <v>-44.841757419354835</v>
      </c>
      <c r="BI6" s="13">
        <f t="shared" ref="BI6:BI36" si="9">9.81*BH6/1000</f>
        <v>-0.43989764028387096</v>
      </c>
      <c r="BJ6" s="13">
        <f t="shared" si="3"/>
        <v>-5.6306897956335485E-2</v>
      </c>
      <c r="BK6" s="13">
        <f t="shared" ref="BK6:BK36" si="10">BJ6*BD6*0.10472</f>
        <v>-6.4670833559862375</v>
      </c>
      <c r="BL6" s="13">
        <f t="shared" ref="BL6:BL36" si="11">BE6*BF6</f>
        <v>-0.14634505470967754</v>
      </c>
      <c r="BM6" s="13">
        <f t="shared" ref="BM6:BM36" si="12">BK6/BL6</f>
        <v>44.190651804502558</v>
      </c>
      <c r="BN6" s="41"/>
      <c r="BO6" s="24">
        <f t="shared" ref="BO6:BO35" si="13">BO5+($BD$36-$BD$5)/(ROW($BD$36)-ROW($BD$5))</f>
        <v>1096.7741935483871</v>
      </c>
      <c r="BP6" s="23">
        <f t="shared" ref="BP6:BP36" si="14">0.00187*BO6-1.403</f>
        <v>0.64796774193548368</v>
      </c>
      <c r="BQ6" s="23">
        <f t="shared" ref="BQ6:BQ36" si="15">0.00135*BO6-1.57916</f>
        <v>-9.8514838709677255E-2</v>
      </c>
      <c r="BR6" s="19">
        <f t="shared" ref="BR6:BR36" si="16">0.19489*BO6-336.3767</f>
        <v>-122.62637741935487</v>
      </c>
      <c r="BS6" s="19">
        <f t="shared" si="4"/>
        <v>-1.2029647624838713</v>
      </c>
      <c r="BT6" s="19">
        <f t="shared" ref="BT6:BT36" si="17">BS6*(64/192)</f>
        <v>-0.40098825416129041</v>
      </c>
      <c r="BU6" s="19">
        <f t="shared" si="5"/>
        <v>-46.055182554070683</v>
      </c>
      <c r="BV6" s="19">
        <f t="shared" si="6"/>
        <v>-6.3834437585847947E-2</v>
      </c>
      <c r="BW6" s="19">
        <f t="shared" ref="BW6:BW36" si="18">BU6/BV6</f>
        <v>721.47862965242268</v>
      </c>
      <c r="BX6" s="13"/>
      <c r="BY6" s="13"/>
      <c r="BZ6" s="13"/>
    </row>
    <row r="7" spans="1:87" x14ac:dyDescent="0.3">
      <c r="A7" s="10"/>
      <c r="B7" s="1"/>
      <c r="C7" s="1"/>
      <c r="F7" s="1"/>
      <c r="G7" s="1"/>
      <c r="H7" s="1"/>
      <c r="K7" s="1"/>
      <c r="L7" s="1"/>
      <c r="M7" s="1"/>
      <c r="P7" s="1"/>
      <c r="Q7" s="1"/>
      <c r="R7" s="1"/>
      <c r="U7" s="23">
        <v>6.02</v>
      </c>
      <c r="V7" s="19">
        <v>147</v>
      </c>
      <c r="W7" s="19">
        <v>3900</v>
      </c>
      <c r="X7" s="13"/>
      <c r="Y7" s="19">
        <v>3.6</v>
      </c>
      <c r="Z7" s="19">
        <v>135</v>
      </c>
      <c r="AA7" s="19">
        <v>3759</v>
      </c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24">
        <f t="shared" si="7"/>
        <v>1193.5483870967741</v>
      </c>
      <c r="BE7" s="23">
        <f t="shared" si="0"/>
        <v>0.4568741935483871</v>
      </c>
      <c r="BF7" s="23">
        <f t="shared" si="1"/>
        <v>-0.41616000000000031</v>
      </c>
      <c r="BG7" s="34">
        <f t="shared" si="2"/>
        <v>-0.19013276438709692</v>
      </c>
      <c r="BH7" s="13">
        <f t="shared" si="8"/>
        <v>-38.221434838709683</v>
      </c>
      <c r="BI7" s="13">
        <f t="shared" si="9"/>
        <v>-0.37495227576774204</v>
      </c>
      <c r="BJ7" s="13">
        <f t="shared" si="3"/>
        <v>-4.7993891298270981E-2</v>
      </c>
      <c r="BK7" s="13">
        <f t="shared" si="10"/>
        <v>-5.9986790638687957</v>
      </c>
      <c r="BL7" s="13">
        <f t="shared" si="11"/>
        <v>-0.19013276438709692</v>
      </c>
      <c r="BM7" s="13">
        <f t="shared" si="12"/>
        <v>31.549949232610469</v>
      </c>
      <c r="BN7" s="41"/>
      <c r="BO7" s="24">
        <f t="shared" si="13"/>
        <v>1193.5483870967741</v>
      </c>
      <c r="BP7" s="23">
        <f t="shared" si="14"/>
        <v>0.82893548387096772</v>
      </c>
      <c r="BQ7" s="23">
        <f t="shared" si="15"/>
        <v>3.2130322580645299E-2</v>
      </c>
      <c r="BR7" s="19">
        <f t="shared" si="16"/>
        <v>-103.76605483870969</v>
      </c>
      <c r="BS7" s="19">
        <f t="shared" si="4"/>
        <v>-1.0179449979677422</v>
      </c>
      <c r="BT7" s="19">
        <f t="shared" si="17"/>
        <v>-0.33931499932258069</v>
      </c>
      <c r="BU7" s="19">
        <f t="shared" si="5"/>
        <v>-42.410434483072379</v>
      </c>
      <c r="BV7" s="19">
        <f t="shared" si="6"/>
        <v>2.6633964495317491E-2</v>
      </c>
      <c r="BW7" s="19">
        <f t="shared" si="18"/>
        <v>-1592.3440346452569</v>
      </c>
      <c r="BX7" s="13"/>
      <c r="BY7" s="13"/>
      <c r="BZ7" s="13"/>
    </row>
    <row r="8" spans="1:87" x14ac:dyDescent="0.3">
      <c r="A8" s="10"/>
      <c r="B8" s="1"/>
      <c r="C8" s="1"/>
      <c r="F8" s="1"/>
      <c r="G8" s="1"/>
      <c r="H8" s="1"/>
      <c r="K8" s="1"/>
      <c r="L8" s="1"/>
      <c r="M8" s="1"/>
      <c r="P8" s="1"/>
      <c r="Q8" s="1"/>
      <c r="R8" s="1"/>
      <c r="U8" s="19">
        <v>5.3</v>
      </c>
      <c r="V8" s="19">
        <v>130</v>
      </c>
      <c r="W8" s="19">
        <v>3577</v>
      </c>
      <c r="X8" s="13"/>
      <c r="Y8" s="19">
        <v>3.2</v>
      </c>
      <c r="Z8" s="19">
        <v>128</v>
      </c>
      <c r="AA8" s="19">
        <v>3577</v>
      </c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24">
        <f t="shared" si="7"/>
        <v>1290.3225806451612</v>
      </c>
      <c r="BE8" s="23">
        <f t="shared" si="0"/>
        <v>0.65526129032258051</v>
      </c>
      <c r="BF8" s="23">
        <f t="shared" si="1"/>
        <v>-0.2661600000000004</v>
      </c>
      <c r="BG8" s="34">
        <f t="shared" si="2"/>
        <v>-0.1744043450322583</v>
      </c>
      <c r="BH8" s="13">
        <f t="shared" si="8"/>
        <v>-31.601112258064518</v>
      </c>
      <c r="BI8" s="13">
        <f t="shared" si="9"/>
        <v>-0.31000691125161295</v>
      </c>
      <c r="BJ8" s="13">
        <f t="shared" si="3"/>
        <v>-3.9680884640206457E-2</v>
      </c>
      <c r="BK8" s="13">
        <f t="shared" si="10"/>
        <v>-5.3617835348676381</v>
      </c>
      <c r="BL8" s="13">
        <f t="shared" si="11"/>
        <v>-0.1744043450322583</v>
      </c>
      <c r="BM8" s="13">
        <f t="shared" si="12"/>
        <v>30.743405698269203</v>
      </c>
      <c r="BN8" s="41"/>
      <c r="BO8" s="24">
        <f t="shared" si="13"/>
        <v>1290.3225806451612</v>
      </c>
      <c r="BP8" s="23">
        <f t="shared" si="14"/>
        <v>1.0099032258064513</v>
      </c>
      <c r="BQ8" s="23">
        <f t="shared" si="15"/>
        <v>0.16277548387096785</v>
      </c>
      <c r="BR8" s="19">
        <f t="shared" si="16"/>
        <v>-84.905732258064546</v>
      </c>
      <c r="BS8" s="19">
        <f t="shared" si="4"/>
        <v>-0.83292523345161329</v>
      </c>
      <c r="BT8" s="19">
        <f t="shared" si="17"/>
        <v>-0.27764174448387108</v>
      </c>
      <c r="BU8" s="19">
        <f t="shared" si="5"/>
        <v>-37.51566900948513</v>
      </c>
      <c r="BV8" s="19">
        <f t="shared" si="6"/>
        <v>0.16438748624349642</v>
      </c>
      <c r="BW8" s="19">
        <f t="shared" si="18"/>
        <v>-228.21487125799604</v>
      </c>
      <c r="BX8" s="13"/>
      <c r="BY8" s="13"/>
      <c r="BZ8" s="13"/>
    </row>
    <row r="9" spans="1:87" x14ac:dyDescent="0.3">
      <c r="A9" s="10"/>
      <c r="B9" s="1"/>
      <c r="C9" s="1"/>
      <c r="F9" s="1"/>
      <c r="G9" s="1"/>
      <c r="H9" s="1"/>
      <c r="K9" s="1"/>
      <c r="L9" s="1"/>
      <c r="M9" s="1"/>
      <c r="P9" s="1"/>
      <c r="Q9" s="1"/>
      <c r="R9" s="1"/>
      <c r="U9" s="19">
        <v>5.3</v>
      </c>
      <c r="V9" s="19">
        <v>126</v>
      </c>
      <c r="W9" s="19">
        <v>3603</v>
      </c>
      <c r="X9" s="13"/>
      <c r="Y9" s="19">
        <v>3.15</v>
      </c>
      <c r="Z9" s="19">
        <v>118</v>
      </c>
      <c r="AA9" s="19">
        <v>3500</v>
      </c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24">
        <f t="shared" si="7"/>
        <v>1387.0967741935483</v>
      </c>
      <c r="BE9" s="23">
        <f t="shared" si="0"/>
        <v>0.85364838709677437</v>
      </c>
      <c r="BF9" s="23">
        <f t="shared" si="1"/>
        <v>-0.11616000000000026</v>
      </c>
      <c r="BG9" s="34">
        <f t="shared" si="2"/>
        <v>-9.915979664516153E-2</v>
      </c>
      <c r="BH9" s="13">
        <f t="shared" si="8"/>
        <v>-24.980789677419367</v>
      </c>
      <c r="BI9" s="13">
        <f t="shared" si="9"/>
        <v>-0.245061546735484</v>
      </c>
      <c r="BJ9" s="13">
        <f t="shared" si="3"/>
        <v>-3.1367877982141953E-2</v>
      </c>
      <c r="BK9" s="13">
        <f t="shared" si="10"/>
        <v>-4.5563967689827711</v>
      </c>
      <c r="BL9" s="13">
        <f t="shared" si="11"/>
        <v>-9.915979664516153E-2</v>
      </c>
      <c r="BM9" s="13">
        <f t="shared" si="12"/>
        <v>45.950041479891425</v>
      </c>
      <c r="BN9" s="41"/>
      <c r="BO9" s="24">
        <f t="shared" si="13"/>
        <v>1387.0967741935483</v>
      </c>
      <c r="BP9" s="23">
        <f t="shared" si="14"/>
        <v>1.1908709677419353</v>
      </c>
      <c r="BQ9" s="23">
        <f t="shared" si="15"/>
        <v>0.29342064516129041</v>
      </c>
      <c r="BR9" s="19">
        <f t="shared" si="16"/>
        <v>-66.0454096774194</v>
      </c>
      <c r="BS9" s="19">
        <f t="shared" si="4"/>
        <v>-0.6479054689354844</v>
      </c>
      <c r="BT9" s="19">
        <f t="shared" si="17"/>
        <v>-0.21596848964516147</v>
      </c>
      <c r="BU9" s="19">
        <f t="shared" si="5"/>
        <v>-31.370886133308908</v>
      </c>
      <c r="BV9" s="19">
        <f t="shared" si="6"/>
        <v>0.34942612765868891</v>
      </c>
      <c r="BW9" s="19">
        <f t="shared" si="18"/>
        <v>-89.778306915707347</v>
      </c>
      <c r="BX9" s="13"/>
      <c r="BY9" s="13"/>
      <c r="BZ9" s="13"/>
    </row>
    <row r="10" spans="1:87" ht="57.6" x14ac:dyDescent="0.3">
      <c r="A10" s="10"/>
      <c r="B10" s="1"/>
      <c r="C10" s="1"/>
      <c r="F10" s="1"/>
      <c r="G10" s="1"/>
      <c r="H10" s="1"/>
      <c r="K10" s="1"/>
      <c r="L10" s="1"/>
      <c r="M10" s="1"/>
      <c r="P10" s="1"/>
      <c r="Q10" s="1"/>
      <c r="R10" s="1"/>
      <c r="U10" s="19">
        <v>5.25</v>
      </c>
      <c r="V10" s="19">
        <v>115</v>
      </c>
      <c r="W10" s="19">
        <v>3525</v>
      </c>
      <c r="X10" s="13"/>
      <c r="Y10" s="19">
        <v>3.1</v>
      </c>
      <c r="Z10" s="19">
        <v>114</v>
      </c>
      <c r="AA10" s="19">
        <v>3475</v>
      </c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24">
        <f t="shared" si="7"/>
        <v>1483.8709677419354</v>
      </c>
      <c r="BE10" s="23">
        <f t="shared" si="0"/>
        <v>1.0520354838709678</v>
      </c>
      <c r="BF10" s="23">
        <f t="shared" si="1"/>
        <v>3.3839999999999648E-2</v>
      </c>
      <c r="BG10" s="34">
        <f t="shared" si="2"/>
        <v>3.5600880774193183E-2</v>
      </c>
      <c r="BH10" s="13">
        <f t="shared" si="8"/>
        <v>-18.360467096774201</v>
      </c>
      <c r="BI10" s="13">
        <f t="shared" si="9"/>
        <v>-0.18011618221935494</v>
      </c>
      <c r="BJ10" s="13">
        <f t="shared" si="3"/>
        <v>-2.3054871324077433E-2</v>
      </c>
      <c r="BK10" s="13">
        <f t="shared" si="10"/>
        <v>-3.5825187662141893</v>
      </c>
      <c r="BL10" s="13">
        <f t="shared" si="11"/>
        <v>3.5600880774193183E-2</v>
      </c>
      <c r="BM10" s="13">
        <f t="shared" si="12"/>
        <v>-100.63005993972854</v>
      </c>
      <c r="BN10" s="41"/>
      <c r="BO10" s="24">
        <f t="shared" si="13"/>
        <v>1483.8709677419354</v>
      </c>
      <c r="BP10" s="23">
        <f t="shared" si="14"/>
        <v>1.3718387096774189</v>
      </c>
      <c r="BQ10" s="23">
        <f t="shared" si="15"/>
        <v>0.42406580645161318</v>
      </c>
      <c r="BR10" s="19">
        <f t="shared" si="16"/>
        <v>-47.185087096774225</v>
      </c>
      <c r="BS10" s="19">
        <f t="shared" si="4"/>
        <v>-0.46288570441935517</v>
      </c>
      <c r="BT10" s="19">
        <f t="shared" si="17"/>
        <v>-0.15429523480645171</v>
      </c>
      <c r="BU10" s="19">
        <f t="shared" si="5"/>
        <v>-23.976085854543697</v>
      </c>
      <c r="BV10" s="19">
        <f t="shared" si="6"/>
        <v>0.58174988874089506</v>
      </c>
      <c r="BW10" s="19">
        <f t="shared" si="18"/>
        <v>-41.213735178250083</v>
      </c>
      <c r="BX10" s="13"/>
      <c r="BY10" s="13"/>
      <c r="BZ10" s="13"/>
      <c r="CB10" t="s">
        <v>27</v>
      </c>
      <c r="CD10" s="32"/>
      <c r="CE10" s="33" t="s">
        <v>42</v>
      </c>
      <c r="CF10" s="33" t="s">
        <v>43</v>
      </c>
      <c r="CG10" s="33" t="s">
        <v>64</v>
      </c>
      <c r="CH10" s="33" t="s">
        <v>59</v>
      </c>
      <c r="CI10" s="33" t="s">
        <v>65</v>
      </c>
    </row>
    <row r="11" spans="1:87" ht="43.2" x14ac:dyDescent="0.3">
      <c r="A11" s="10"/>
      <c r="B11" s="1"/>
      <c r="C11" s="1"/>
      <c r="F11" s="1"/>
      <c r="G11" s="1"/>
      <c r="H11" s="1"/>
      <c r="K11" s="1"/>
      <c r="L11" s="1"/>
      <c r="M11" s="1"/>
      <c r="P11" s="1"/>
      <c r="Q11" s="1"/>
      <c r="R11" s="1"/>
      <c r="U11" s="19">
        <v>4.3</v>
      </c>
      <c r="V11" s="19">
        <v>101</v>
      </c>
      <c r="W11" s="19">
        <v>3065</v>
      </c>
      <c r="X11" s="13"/>
      <c r="Y11" s="19">
        <v>2.44</v>
      </c>
      <c r="Z11" s="19">
        <v>88</v>
      </c>
      <c r="AA11" s="19">
        <v>3045</v>
      </c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24">
        <f t="shared" si="7"/>
        <v>1580.6451612903224</v>
      </c>
      <c r="BE11" s="23">
        <f t="shared" si="0"/>
        <v>1.2504225806451612</v>
      </c>
      <c r="BF11" s="23">
        <f t="shared" si="1"/>
        <v>0.18383999999999956</v>
      </c>
      <c r="BG11" s="34">
        <f t="shared" si="2"/>
        <v>0.2298776872258059</v>
      </c>
      <c r="BH11" s="13">
        <f t="shared" si="8"/>
        <v>-11.740144516129035</v>
      </c>
      <c r="BI11" s="13">
        <f t="shared" si="9"/>
        <v>-0.11517081770322585</v>
      </c>
      <c r="BJ11" s="13">
        <f t="shared" si="3"/>
        <v>-1.4741864666012908E-2</v>
      </c>
      <c r="BK11" s="13">
        <f t="shared" si="10"/>
        <v>-2.4401495265618935</v>
      </c>
      <c r="BL11" s="13">
        <f t="shared" si="11"/>
        <v>0.2298776872258059</v>
      </c>
      <c r="BM11" s="13">
        <f t="shared" si="12"/>
        <v>-10.614990763174704</v>
      </c>
      <c r="BN11" s="41"/>
      <c r="BO11" s="24">
        <f t="shared" si="13"/>
        <v>1580.6451612903224</v>
      </c>
      <c r="BP11" s="23">
        <f t="shared" si="14"/>
        <v>1.552806451612903</v>
      </c>
      <c r="BQ11" s="23">
        <f t="shared" si="15"/>
        <v>0.55471096774193551</v>
      </c>
      <c r="BR11" s="19">
        <f t="shared" si="16"/>
        <v>-28.324764516129051</v>
      </c>
      <c r="BS11" s="19">
        <f t="shared" si="4"/>
        <v>-0.277865939903226</v>
      </c>
      <c r="BT11" s="19">
        <f t="shared" si="17"/>
        <v>-9.2621979967741991E-2</v>
      </c>
      <c r="BU11" s="19">
        <f t="shared" si="5"/>
        <v>-15.331268173189519</v>
      </c>
      <c r="BV11" s="19">
        <f t="shared" si="6"/>
        <v>0.86135876949011436</v>
      </c>
      <c r="BW11" s="19">
        <f t="shared" si="18"/>
        <v>-17.79893433054027</v>
      </c>
      <c r="BX11" s="13"/>
      <c r="BY11" s="13"/>
      <c r="BZ11" s="13"/>
      <c r="CD11" s="27" t="s">
        <v>55</v>
      </c>
      <c r="CE11" s="27" t="s">
        <v>56</v>
      </c>
      <c r="CF11" s="27" t="s">
        <v>57</v>
      </c>
      <c r="CG11" s="27" t="s">
        <v>30</v>
      </c>
      <c r="CH11" s="40" t="s">
        <v>31</v>
      </c>
      <c r="CI11" s="40" t="s">
        <v>33</v>
      </c>
    </row>
    <row r="12" spans="1:87" x14ac:dyDescent="0.3">
      <c r="A12" s="10"/>
      <c r="B12" s="1"/>
      <c r="C12" s="1"/>
      <c r="F12" s="1"/>
      <c r="G12" s="1"/>
      <c r="H12" s="1"/>
      <c r="K12" s="1"/>
      <c r="L12" s="1"/>
      <c r="M12" s="1"/>
      <c r="P12" s="1"/>
      <c r="Q12" s="1"/>
      <c r="R12" s="1"/>
      <c r="U12" s="19">
        <v>4.26</v>
      </c>
      <c r="V12" s="19">
        <v>97</v>
      </c>
      <c r="W12" s="19">
        <v>3062</v>
      </c>
      <c r="X12" s="13"/>
      <c r="Y12" s="19">
        <v>2.42</v>
      </c>
      <c r="Z12" s="19">
        <v>86</v>
      </c>
      <c r="AA12" s="19">
        <v>2995</v>
      </c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24">
        <f t="shared" si="7"/>
        <v>1677.4193548387095</v>
      </c>
      <c r="BE12" s="23">
        <f t="shared" si="0"/>
        <v>1.4488096774193546</v>
      </c>
      <c r="BF12" s="23">
        <f t="shared" si="1"/>
        <v>0.33383999999999947</v>
      </c>
      <c r="BG12" s="34">
        <f t="shared" si="2"/>
        <v>0.48367062270967659</v>
      </c>
      <c r="BH12" s="13">
        <f t="shared" si="8"/>
        <v>-5.1198219354838841</v>
      </c>
      <c r="BI12" s="13">
        <f t="shared" si="9"/>
        <v>-5.0225453187096904E-2</v>
      </c>
      <c r="BJ12" s="13">
        <f t="shared" si="3"/>
        <v>-6.4288580079484041E-3</v>
      </c>
      <c r="BK12" s="13">
        <f t="shared" si="10"/>
        <v>-1.129289050025889</v>
      </c>
      <c r="BL12" s="13">
        <f t="shared" si="11"/>
        <v>0.48367062270967659</v>
      </c>
      <c r="BM12" s="13">
        <f t="shared" si="12"/>
        <v>-2.3348307649930291</v>
      </c>
      <c r="BN12" s="41"/>
      <c r="BO12" s="24">
        <f t="shared" si="13"/>
        <v>1677.4193548387095</v>
      </c>
      <c r="BP12" s="23">
        <f t="shared" si="14"/>
        <v>1.7337741935483866</v>
      </c>
      <c r="BQ12" s="23">
        <f t="shared" si="15"/>
        <v>0.68535612903225829</v>
      </c>
      <c r="BR12" s="19">
        <f t="shared" si="16"/>
        <v>-9.4644419354839329</v>
      </c>
      <c r="BS12" s="19">
        <f t="shared" si="4"/>
        <v>-9.2846175387097385E-2</v>
      </c>
      <c r="BT12" s="19">
        <f t="shared" si="17"/>
        <v>-3.0948725129032462E-2</v>
      </c>
      <c r="BU12" s="19">
        <f t="shared" si="5"/>
        <v>-5.4364330892464032</v>
      </c>
      <c r="BV12" s="19">
        <f t="shared" si="6"/>
        <v>1.1882527699063477</v>
      </c>
      <c r="BW12" s="19">
        <f t="shared" si="18"/>
        <v>-4.575148677898623</v>
      </c>
      <c r="BX12" s="13"/>
      <c r="BY12" s="13"/>
      <c r="BZ12" s="13"/>
      <c r="CD12" s="19">
        <v>3500</v>
      </c>
      <c r="CE12" s="23">
        <f>0.00187*CD12-1.403</f>
        <v>5.1419999999999995</v>
      </c>
      <c r="CF12" s="23">
        <f>0.00135*CD12-1.57916</f>
        <v>3.1458400000000006</v>
      </c>
      <c r="CG12" s="19">
        <f>0.19489*CD12-336.3767</f>
        <v>345.73829999999998</v>
      </c>
      <c r="CH12" s="19">
        <f t="shared" ref="CH12" si="19">9.81*CG12/1000</f>
        <v>3.3916927230000002</v>
      </c>
      <c r="CI12" s="19">
        <f>CH12*(64/192)</f>
        <v>1.1305642410000001</v>
      </c>
    </row>
    <row r="13" spans="1:87" x14ac:dyDescent="0.3">
      <c r="A13" s="10"/>
      <c r="B13" s="1"/>
      <c r="C13" s="1"/>
      <c r="F13" s="1"/>
      <c r="G13" s="1"/>
      <c r="H13" s="1"/>
      <c r="K13" s="1"/>
      <c r="L13" s="1"/>
      <c r="M13" s="1"/>
      <c r="P13" s="1"/>
      <c r="Q13" s="1"/>
      <c r="R13" s="1"/>
      <c r="U13" s="19">
        <v>4.22</v>
      </c>
      <c r="V13" s="19">
        <v>95</v>
      </c>
      <c r="W13" s="19">
        <v>3035</v>
      </c>
      <c r="X13" s="13"/>
      <c r="Y13" s="19">
        <v>2.4</v>
      </c>
      <c r="Z13" s="19">
        <v>87</v>
      </c>
      <c r="AA13" s="19">
        <v>3011</v>
      </c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24">
        <f t="shared" si="7"/>
        <v>1774.1935483870966</v>
      </c>
      <c r="BE13" s="23">
        <f t="shared" si="0"/>
        <v>1.6471967741935485</v>
      </c>
      <c r="BF13" s="23">
        <f t="shared" si="1"/>
        <v>0.48383999999999938</v>
      </c>
      <c r="BG13" s="34">
        <f t="shared" si="2"/>
        <v>0.79697968722580548</v>
      </c>
      <c r="BH13" s="13">
        <f t="shared" si="8"/>
        <v>1.5005006451612815</v>
      </c>
      <c r="BI13" s="13">
        <f t="shared" si="9"/>
        <v>1.4719911329032172E-2</v>
      </c>
      <c r="BJ13" s="13">
        <f t="shared" si="3"/>
        <v>1.884148650116118E-3</v>
      </c>
      <c r="BK13" s="13">
        <f t="shared" si="10"/>
        <v>0.35006266339383196</v>
      </c>
      <c r="BL13" s="13">
        <f t="shared" si="11"/>
        <v>0.79697968722580548</v>
      </c>
      <c r="BM13" s="13">
        <f t="shared" si="12"/>
        <v>0.43923661920714663</v>
      </c>
      <c r="BN13" s="41"/>
      <c r="BO13" s="24">
        <f t="shared" si="13"/>
        <v>1774.1935483870966</v>
      </c>
      <c r="BP13" s="23">
        <f t="shared" si="14"/>
        <v>1.9147419354838706</v>
      </c>
      <c r="BQ13" s="23">
        <f t="shared" si="15"/>
        <v>0.81600129032258062</v>
      </c>
      <c r="BR13" s="19">
        <f t="shared" si="16"/>
        <v>9.3958806451612418</v>
      </c>
      <c r="BS13" s="19">
        <f t="shared" si="4"/>
        <v>9.2173589129031785E-2</v>
      </c>
      <c r="BT13" s="19">
        <f t="shared" si="17"/>
        <v>3.0724529709677262E-2</v>
      </c>
      <c r="BU13" s="19">
        <f t="shared" si="5"/>
        <v>5.7084193972857138</v>
      </c>
      <c r="BV13" s="19">
        <f t="shared" si="6"/>
        <v>1.5624318899895939</v>
      </c>
      <c r="BW13" s="19">
        <f t="shared" si="18"/>
        <v>3.6535476738917132</v>
      </c>
      <c r="BX13" s="13"/>
      <c r="BY13" s="13"/>
      <c r="BZ13" s="13"/>
    </row>
    <row r="14" spans="1:87" x14ac:dyDescent="0.3">
      <c r="A14" s="10"/>
      <c r="B14" s="1"/>
      <c r="C14" s="1"/>
      <c r="F14" s="1"/>
      <c r="G14" s="1"/>
      <c r="H14" s="1"/>
      <c r="K14" s="1"/>
      <c r="L14" s="1"/>
      <c r="M14" s="1"/>
      <c r="P14" s="1"/>
      <c r="Q14" s="1"/>
      <c r="R14" s="1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24">
        <f t="shared" si="7"/>
        <v>1870.9677419354837</v>
      </c>
      <c r="BE14" s="23">
        <f t="shared" si="0"/>
        <v>1.8455838709677419</v>
      </c>
      <c r="BF14" s="23">
        <f t="shared" si="1"/>
        <v>0.63383999999999929</v>
      </c>
      <c r="BG14" s="34">
        <f t="shared" si="2"/>
        <v>1.1698048807741923</v>
      </c>
      <c r="BH14" s="13">
        <f t="shared" si="8"/>
        <v>8.1208232258064328</v>
      </c>
      <c r="BI14" s="13">
        <f t="shared" si="9"/>
        <v>7.9665275845161101E-2</v>
      </c>
      <c r="BJ14" s="13">
        <f t="shared" si="3"/>
        <v>1.0197155308180621E-2</v>
      </c>
      <c r="BK14" s="13">
        <f t="shared" si="10"/>
        <v>1.9979056136972619</v>
      </c>
      <c r="BL14" s="13">
        <f t="shared" si="11"/>
        <v>1.1698048807741923</v>
      </c>
      <c r="BM14" s="13">
        <f t="shared" si="12"/>
        <v>1.7078964590872809</v>
      </c>
      <c r="BN14" s="41"/>
      <c r="BO14" s="24">
        <f t="shared" si="13"/>
        <v>1870.9677419354837</v>
      </c>
      <c r="BP14" s="23">
        <f t="shared" si="14"/>
        <v>2.0957096774193542</v>
      </c>
      <c r="BQ14" s="23">
        <f t="shared" si="15"/>
        <v>0.94664645161290339</v>
      </c>
      <c r="BR14" s="19">
        <f t="shared" si="16"/>
        <v>28.256203225806416</v>
      </c>
      <c r="BS14" s="19">
        <f t="shared" si="4"/>
        <v>0.27719335364516096</v>
      </c>
      <c r="BT14" s="19">
        <f t="shared" si="17"/>
        <v>9.2397784548386985E-2</v>
      </c>
      <c r="BU14" s="19">
        <f t="shared" si="5"/>
        <v>18.103289286406802</v>
      </c>
      <c r="BV14" s="19">
        <f t="shared" si="6"/>
        <v>1.9838961297398541</v>
      </c>
      <c r="BW14" s="19">
        <f t="shared" si="18"/>
        <v>9.125119513580918</v>
      </c>
      <c r="BX14" s="13"/>
      <c r="BY14" s="13"/>
      <c r="BZ14" s="13"/>
    </row>
    <row r="15" spans="1:87" ht="15.6" x14ac:dyDescent="0.3">
      <c r="A15" s="10"/>
      <c r="B15" s="1"/>
      <c r="C15" s="1"/>
      <c r="F15" s="1"/>
      <c r="G15" s="1"/>
      <c r="H15" s="1"/>
      <c r="K15" s="1"/>
      <c r="L15" s="1"/>
      <c r="M15" s="1"/>
      <c r="P15" s="1"/>
      <c r="Q15" s="1"/>
      <c r="R15" s="1"/>
      <c r="U15" s="26" t="s">
        <v>25</v>
      </c>
      <c r="V15" s="26"/>
      <c r="W15" s="26"/>
      <c r="X15" s="26"/>
      <c r="Y15" s="26"/>
      <c r="Z15" s="26"/>
      <c r="AA15" s="26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24">
        <f t="shared" si="7"/>
        <v>1967.7419354838707</v>
      </c>
      <c r="BE15" s="23">
        <f t="shared" si="0"/>
        <v>2.0439709677419358</v>
      </c>
      <c r="BF15" s="23">
        <f t="shared" si="1"/>
        <v>0.7838399999999992</v>
      </c>
      <c r="BG15" s="34">
        <f t="shared" si="2"/>
        <v>1.6021462033548373</v>
      </c>
      <c r="BH15" s="13">
        <f t="shared" si="8"/>
        <v>14.741145806451598</v>
      </c>
      <c r="BI15" s="13">
        <f t="shared" si="9"/>
        <v>0.1446106403612902</v>
      </c>
      <c r="BJ15" s="13">
        <f t="shared" si="3"/>
        <v>1.8510161966245147E-2</v>
      </c>
      <c r="BK15" s="13">
        <f t="shared" si="10"/>
        <v>3.8142398008844092</v>
      </c>
      <c r="BL15" s="13">
        <f t="shared" si="11"/>
        <v>1.6021462033548373</v>
      </c>
      <c r="BM15" s="13">
        <f t="shared" si="12"/>
        <v>2.3807064504459872</v>
      </c>
      <c r="BN15" s="41"/>
      <c r="BO15" s="24">
        <f t="shared" si="13"/>
        <v>1967.7419354838707</v>
      </c>
      <c r="BP15" s="23">
        <f t="shared" si="14"/>
        <v>2.2766774193548382</v>
      </c>
      <c r="BQ15" s="23">
        <f t="shared" si="15"/>
        <v>1.0772916129032257</v>
      </c>
      <c r="BR15" s="19">
        <f t="shared" si="16"/>
        <v>47.116525806451534</v>
      </c>
      <c r="BS15" s="19">
        <f t="shared" si="4"/>
        <v>0.46221311816128957</v>
      </c>
      <c r="BT15" s="19">
        <f t="shared" si="17"/>
        <v>0.15407103938709651</v>
      </c>
      <c r="BU15" s="19">
        <f t="shared" si="5"/>
        <v>31.748176578116816</v>
      </c>
      <c r="BV15" s="19">
        <f t="shared" si="6"/>
        <v>2.4526454891571272</v>
      </c>
      <c r="BW15" s="19">
        <f t="shared" si="18"/>
        <v>12.94446209958674</v>
      </c>
      <c r="BX15" s="13"/>
      <c r="BY15" s="13"/>
      <c r="BZ15" s="13"/>
    </row>
    <row r="16" spans="1:87" x14ac:dyDescent="0.3">
      <c r="A16" s="10"/>
      <c r="B16" s="1"/>
      <c r="C16" s="1"/>
      <c r="F16" s="1"/>
      <c r="G16" s="1"/>
      <c r="H16" s="1"/>
      <c r="K16" s="1"/>
      <c r="L16" s="1"/>
      <c r="M16" s="1"/>
      <c r="P16" s="1"/>
      <c r="Q16" s="1"/>
      <c r="R16" s="1"/>
      <c r="U16" s="19" t="s">
        <v>0</v>
      </c>
      <c r="V16" s="19" t="s">
        <v>1</v>
      </c>
      <c r="W16" s="19" t="s">
        <v>2</v>
      </c>
      <c r="X16" s="13"/>
      <c r="Y16" s="19" t="s">
        <v>3</v>
      </c>
      <c r="Z16" s="19" t="s">
        <v>1</v>
      </c>
      <c r="AA16" s="19" t="s">
        <v>2</v>
      </c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24">
        <f t="shared" si="7"/>
        <v>2064.516129032258</v>
      </c>
      <c r="BE16" s="23">
        <f t="shared" si="0"/>
        <v>2.2423580645161292</v>
      </c>
      <c r="BF16" s="23">
        <f t="shared" si="1"/>
        <v>0.93383999999999956</v>
      </c>
      <c r="BG16" s="34">
        <f t="shared" si="2"/>
        <v>2.0940036549677412</v>
      </c>
      <c r="BH16" s="13">
        <f t="shared" si="8"/>
        <v>21.361468387096764</v>
      </c>
      <c r="BI16" s="13">
        <f t="shared" si="9"/>
        <v>0.20955600487741927</v>
      </c>
      <c r="BJ16" s="13">
        <f t="shared" si="3"/>
        <v>2.6823168624309664E-2</v>
      </c>
      <c r="BK16" s="13">
        <f t="shared" si="10"/>
        <v>5.7990652249552683</v>
      </c>
      <c r="BL16" s="13">
        <f t="shared" si="11"/>
        <v>2.0940036549677412</v>
      </c>
      <c r="BM16" s="13">
        <f t="shared" si="12"/>
        <v>2.7693672889241467</v>
      </c>
      <c r="BN16" s="41"/>
      <c r="BO16" s="24">
        <f t="shared" si="13"/>
        <v>2064.516129032258</v>
      </c>
      <c r="BP16" s="23">
        <f t="shared" si="14"/>
        <v>2.4576451612903223</v>
      </c>
      <c r="BQ16" s="23">
        <f t="shared" si="15"/>
        <v>1.2079367741935485</v>
      </c>
      <c r="BR16" s="19">
        <f t="shared" si="16"/>
        <v>65.976848387096766</v>
      </c>
      <c r="BS16" s="19">
        <f t="shared" si="4"/>
        <v>0.6472328826774193</v>
      </c>
      <c r="BT16" s="19">
        <f t="shared" si="17"/>
        <v>0.21574429422580643</v>
      </c>
      <c r="BU16" s="19">
        <f t="shared" si="5"/>
        <v>46.643081272415891</v>
      </c>
      <c r="BV16" s="19">
        <f t="shared" si="6"/>
        <v>2.9686799682414153</v>
      </c>
      <c r="BW16" s="19">
        <f t="shared" si="18"/>
        <v>15.711724325760276</v>
      </c>
      <c r="BX16" s="13"/>
      <c r="BY16" s="13"/>
      <c r="BZ16" s="13"/>
    </row>
    <row r="17" spans="1:91" x14ac:dyDescent="0.3">
      <c r="A17" s="10"/>
      <c r="B17" s="1"/>
      <c r="C17" s="1"/>
      <c r="F17" s="1"/>
      <c r="G17" s="1"/>
      <c r="H17" s="1"/>
      <c r="K17" s="1"/>
      <c r="L17" s="1"/>
      <c r="M17" s="1"/>
      <c r="P17" s="1"/>
      <c r="Q17" s="1"/>
      <c r="R17" s="1"/>
      <c r="U17" s="19">
        <v>5.3</v>
      </c>
      <c r="V17" s="19">
        <v>384</v>
      </c>
      <c r="W17" s="19">
        <v>3612</v>
      </c>
      <c r="X17" s="13"/>
      <c r="Y17" s="19">
        <v>3.23</v>
      </c>
      <c r="Z17" s="19">
        <v>360</v>
      </c>
      <c r="AA17" s="19">
        <v>3566</v>
      </c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24">
        <f t="shared" si="7"/>
        <v>2161.2903225806454</v>
      </c>
      <c r="BE17" s="23">
        <f t="shared" si="0"/>
        <v>2.4407451612903235</v>
      </c>
      <c r="BF17" s="23">
        <f t="shared" si="1"/>
        <v>1.0838399999999999</v>
      </c>
      <c r="BG17" s="34">
        <f t="shared" si="2"/>
        <v>2.6453772356129042</v>
      </c>
      <c r="BH17" s="13">
        <f t="shared" si="8"/>
        <v>27.981790967741958</v>
      </c>
      <c r="BI17" s="13">
        <f t="shared" si="9"/>
        <v>0.27450136939354858</v>
      </c>
      <c r="BJ17" s="13">
        <f t="shared" si="3"/>
        <v>3.513617528237422E-2</v>
      </c>
      <c r="BK17" s="13">
        <f t="shared" si="10"/>
        <v>7.9523818859098485</v>
      </c>
      <c r="BL17" s="13">
        <f t="shared" si="11"/>
        <v>2.6453772356129042</v>
      </c>
      <c r="BM17" s="13">
        <f t="shared" si="12"/>
        <v>3.0061428588907364</v>
      </c>
      <c r="BN17" s="41"/>
      <c r="BO17" s="24">
        <f t="shared" si="13"/>
        <v>2161.2903225806454</v>
      </c>
      <c r="BP17" s="23">
        <f t="shared" si="14"/>
        <v>2.6386129032258068</v>
      </c>
      <c r="BQ17" s="23">
        <f t="shared" si="15"/>
        <v>1.3385819354838713</v>
      </c>
      <c r="BR17" s="19">
        <f t="shared" si="16"/>
        <v>84.83717096774194</v>
      </c>
      <c r="BS17" s="19">
        <f t="shared" si="4"/>
        <v>0.83225264719354841</v>
      </c>
      <c r="BT17" s="19">
        <f t="shared" si="17"/>
        <v>0.2774175490645161</v>
      </c>
      <c r="BU17" s="19">
        <f t="shared" si="5"/>
        <v>62.788003369303887</v>
      </c>
      <c r="BV17" s="19">
        <f t="shared" si="6"/>
        <v>3.5319995669927171</v>
      </c>
      <c r="BW17" s="19">
        <f t="shared" si="18"/>
        <v>17.776900075546742</v>
      </c>
      <c r="BX17" s="13"/>
      <c r="BY17" s="13"/>
      <c r="BZ17" s="13"/>
      <c r="CC17" s="20"/>
      <c r="CD17" s="20"/>
      <c r="CE17" s="20"/>
      <c r="CF17" s="20"/>
      <c r="CG17" s="20"/>
      <c r="CH17" s="20"/>
      <c r="CI17" s="20"/>
      <c r="CJ17" s="20"/>
    </row>
    <row r="18" spans="1:91" ht="18" x14ac:dyDescent="0.35">
      <c r="A18" s="10"/>
      <c r="B18" s="1"/>
      <c r="C18" s="1"/>
      <c r="F18" s="1"/>
      <c r="G18" s="1"/>
      <c r="H18" s="1"/>
      <c r="K18" s="1"/>
      <c r="L18" s="1"/>
      <c r="M18" s="1"/>
      <c r="P18" s="1"/>
      <c r="Q18" s="1"/>
      <c r="R18" s="1"/>
      <c r="U18" s="19">
        <v>5.3</v>
      </c>
      <c r="V18" s="19">
        <v>370</v>
      </c>
      <c r="W18" s="19">
        <v>3552</v>
      </c>
      <c r="X18" s="13"/>
      <c r="Y18" s="19">
        <v>3.17</v>
      </c>
      <c r="Z18" s="19">
        <v>345</v>
      </c>
      <c r="AA18" s="19">
        <v>3471</v>
      </c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24">
        <f t="shared" si="7"/>
        <v>2258.0645161290327</v>
      </c>
      <c r="BE18" s="23">
        <f t="shared" si="0"/>
        <v>2.6391322580645169</v>
      </c>
      <c r="BF18" s="23">
        <f t="shared" si="1"/>
        <v>1.2338400000000003</v>
      </c>
      <c r="BG18" s="34">
        <f t="shared" si="2"/>
        <v>3.2562669452903243</v>
      </c>
      <c r="BH18" s="13">
        <f t="shared" si="8"/>
        <v>34.602113548387123</v>
      </c>
      <c r="BI18" s="13">
        <f t="shared" si="9"/>
        <v>0.33944673390967767</v>
      </c>
      <c r="BJ18" s="13">
        <f t="shared" si="3"/>
        <v>4.3449181940438744E-2</v>
      </c>
      <c r="BK18" s="13">
        <f t="shared" si="10"/>
        <v>10.274189783748135</v>
      </c>
      <c r="BL18" s="13">
        <f t="shared" si="11"/>
        <v>3.2562669452903243</v>
      </c>
      <c r="BM18" s="13">
        <f t="shared" si="12"/>
        <v>3.1552050112501147</v>
      </c>
      <c r="BN18" s="41"/>
      <c r="BO18" s="24">
        <f t="shared" si="13"/>
        <v>2258.0645161290327</v>
      </c>
      <c r="BP18" s="23">
        <f t="shared" si="14"/>
        <v>2.8195806451612913</v>
      </c>
      <c r="BQ18" s="23">
        <f t="shared" si="15"/>
        <v>1.4692270967741945</v>
      </c>
      <c r="BR18" s="19">
        <f t="shared" si="16"/>
        <v>103.69749354838717</v>
      </c>
      <c r="BS18" s="19">
        <f t="shared" si="4"/>
        <v>1.0172724117096781</v>
      </c>
      <c r="BT18" s="19">
        <f t="shared" si="17"/>
        <v>0.33909080390322599</v>
      </c>
      <c r="BU18" s="19">
        <f t="shared" si="5"/>
        <v>80.182942868780913</v>
      </c>
      <c r="BV18" s="19">
        <f t="shared" si="6"/>
        <v>4.1426042854110339</v>
      </c>
      <c r="BW18" s="19">
        <f t="shared" si="18"/>
        <v>19.355684816713087</v>
      </c>
      <c r="BX18" s="13"/>
      <c r="BY18" s="13"/>
      <c r="BZ18" s="13"/>
      <c r="CC18" s="20"/>
      <c r="CD18" s="21" t="s">
        <v>70</v>
      </c>
      <c r="CE18" s="21"/>
      <c r="CF18" s="21"/>
      <c r="CG18" s="20"/>
      <c r="CH18" s="20"/>
      <c r="CI18" s="20"/>
      <c r="CJ18" s="20"/>
    </row>
    <row r="19" spans="1:91" ht="43.2" x14ac:dyDescent="0.3">
      <c r="A19" s="10"/>
      <c r="B19" s="1"/>
      <c r="C19" s="1"/>
      <c r="F19" s="1"/>
      <c r="G19" s="1"/>
      <c r="H19" s="1"/>
      <c r="K19" s="1"/>
      <c r="L19" s="1"/>
      <c r="M19" s="1"/>
      <c r="P19" s="1"/>
      <c r="Q19" s="1"/>
      <c r="R19" s="1"/>
      <c r="U19" s="19">
        <v>5.25</v>
      </c>
      <c r="V19" s="19">
        <v>360</v>
      </c>
      <c r="W19" s="19">
        <v>3563</v>
      </c>
      <c r="X19" s="13"/>
      <c r="Y19" s="19">
        <v>3.18</v>
      </c>
      <c r="Z19" s="19">
        <v>352</v>
      </c>
      <c r="AA19" s="19">
        <v>3499</v>
      </c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24">
        <f t="shared" si="7"/>
        <v>2354.83870967742</v>
      </c>
      <c r="BE19" s="23">
        <f t="shared" si="0"/>
        <v>2.8375193548387112</v>
      </c>
      <c r="BF19" s="23">
        <f t="shared" si="1"/>
        <v>1.3838400000000006</v>
      </c>
      <c r="BG19" s="34">
        <f t="shared" si="2"/>
        <v>3.926672784000004</v>
      </c>
      <c r="BH19" s="13">
        <f t="shared" si="8"/>
        <v>41.222436129032289</v>
      </c>
      <c r="BI19" s="13">
        <f t="shared" si="9"/>
        <v>0.40439209842580676</v>
      </c>
      <c r="BJ19" s="13">
        <f t="shared" si="3"/>
        <v>5.1762188598503261E-2</v>
      </c>
      <c r="BK19" s="13">
        <f t="shared" si="10"/>
        <v>12.764488918470136</v>
      </c>
      <c r="BL19" s="13">
        <f t="shared" si="11"/>
        <v>3.926672784000004</v>
      </c>
      <c r="BM19" s="13">
        <f t="shared" si="12"/>
        <v>3.2507136755783526</v>
      </c>
      <c r="BN19" s="41"/>
      <c r="BO19" s="24">
        <f t="shared" si="13"/>
        <v>2354.83870967742</v>
      </c>
      <c r="BP19" s="23">
        <f t="shared" si="14"/>
        <v>3.0005483870967748</v>
      </c>
      <c r="BQ19" s="23">
        <f t="shared" si="15"/>
        <v>1.5998722580645173</v>
      </c>
      <c r="BR19" s="19">
        <f t="shared" si="16"/>
        <v>122.55781612903235</v>
      </c>
      <c r="BS19" s="19">
        <f t="shared" si="4"/>
        <v>1.2022921762258074</v>
      </c>
      <c r="BT19" s="19">
        <f t="shared" si="17"/>
        <v>0.40076405874193577</v>
      </c>
      <c r="BU19" s="19">
        <f t="shared" si="5"/>
        <v>98.827899770846869</v>
      </c>
      <c r="BV19" s="19">
        <f t="shared" si="6"/>
        <v>4.8004941234963621</v>
      </c>
      <c r="BW19" s="19">
        <f t="shared" si="18"/>
        <v>20.587026507776905</v>
      </c>
      <c r="BX19" s="13"/>
      <c r="BY19" s="13"/>
      <c r="BZ19" s="13"/>
      <c r="CC19" s="12"/>
      <c r="CD19" s="31"/>
      <c r="CE19" s="31" t="s">
        <v>66</v>
      </c>
      <c r="CF19" s="31" t="s">
        <v>67</v>
      </c>
      <c r="CG19" s="31" t="s">
        <v>68</v>
      </c>
      <c r="CH19" s="31" t="s">
        <v>47</v>
      </c>
      <c r="CI19" s="31" t="s">
        <v>69</v>
      </c>
      <c r="CJ19" s="12"/>
    </row>
    <row r="20" spans="1:91" ht="43.2" x14ac:dyDescent="0.3">
      <c r="A20" s="10"/>
      <c r="B20" s="1"/>
      <c r="C20" s="1"/>
      <c r="F20" s="1"/>
      <c r="G20" s="1"/>
      <c r="H20" s="1"/>
      <c r="K20" s="1"/>
      <c r="L20" s="1"/>
      <c r="M20" s="1"/>
      <c r="P20" s="1"/>
      <c r="Q20" s="1"/>
      <c r="R20" s="1"/>
      <c r="U20" s="19">
        <v>4.88</v>
      </c>
      <c r="V20" s="19">
        <v>320</v>
      </c>
      <c r="W20" s="19">
        <v>3377</v>
      </c>
      <c r="X20" s="13"/>
      <c r="Y20" s="19">
        <v>2.91</v>
      </c>
      <c r="Z20" s="19">
        <v>320</v>
      </c>
      <c r="AA20" s="19">
        <v>3405</v>
      </c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24">
        <f t="shared" si="7"/>
        <v>2451.6129032258073</v>
      </c>
      <c r="BE20" s="23">
        <f t="shared" si="0"/>
        <v>3.0359064516129055</v>
      </c>
      <c r="BF20" s="23">
        <f t="shared" si="1"/>
        <v>1.533840000000001</v>
      </c>
      <c r="BG20" s="34">
        <f t="shared" si="2"/>
        <v>4.6565947517419417</v>
      </c>
      <c r="BH20" s="13">
        <f t="shared" si="8"/>
        <v>47.842758709677483</v>
      </c>
      <c r="BI20" s="13">
        <f t="shared" si="9"/>
        <v>0.46933746294193612</v>
      </c>
      <c r="BJ20" s="13">
        <f t="shared" si="3"/>
        <v>6.007519525656782E-2</v>
      </c>
      <c r="BK20" s="13">
        <f t="shared" si="10"/>
        <v>15.423279290075858</v>
      </c>
      <c r="BL20" s="13">
        <f t="shared" si="11"/>
        <v>4.6565947517419417</v>
      </c>
      <c r="BM20" s="13">
        <f t="shared" si="12"/>
        <v>3.3121368966681732</v>
      </c>
      <c r="BN20" s="41"/>
      <c r="BO20" s="24">
        <f t="shared" si="13"/>
        <v>2451.6129032258073</v>
      </c>
      <c r="BP20" s="23">
        <f t="shared" si="14"/>
        <v>3.1815161290322593</v>
      </c>
      <c r="BQ20" s="23">
        <f t="shared" si="15"/>
        <v>1.73051741935484</v>
      </c>
      <c r="BR20" s="19">
        <f t="shared" si="16"/>
        <v>141.41813870967758</v>
      </c>
      <c r="BS20" s="19">
        <f t="shared" si="4"/>
        <v>1.3873119407419372</v>
      </c>
      <c r="BT20" s="19">
        <f t="shared" si="17"/>
        <v>0.46243731358064571</v>
      </c>
      <c r="BU20" s="19">
        <f t="shared" si="5"/>
        <v>118.72287407550186</v>
      </c>
      <c r="BV20" s="19">
        <f t="shared" si="6"/>
        <v>5.5056690812487057</v>
      </c>
      <c r="BW20" s="19">
        <f t="shared" si="18"/>
        <v>21.563750440405162</v>
      </c>
      <c r="BX20" s="13"/>
      <c r="BY20" s="13"/>
      <c r="BZ20" s="13"/>
      <c r="CC20" s="46"/>
      <c r="CD20" s="27" t="s">
        <v>55</v>
      </c>
      <c r="CE20" s="27" t="s">
        <v>56</v>
      </c>
      <c r="CF20" s="27" t="s">
        <v>57</v>
      </c>
      <c r="CG20" s="27" t="s">
        <v>30</v>
      </c>
      <c r="CH20" s="27" t="s">
        <v>31</v>
      </c>
      <c r="CI20" s="27" t="s">
        <v>33</v>
      </c>
      <c r="CJ20" s="46"/>
      <c r="CM20" s="27" t="s">
        <v>27</v>
      </c>
    </row>
    <row r="21" spans="1:91" x14ac:dyDescent="0.3">
      <c r="U21" s="19">
        <v>4.84</v>
      </c>
      <c r="V21" s="19">
        <v>315</v>
      </c>
      <c r="W21" s="19">
        <v>3282</v>
      </c>
      <c r="X21" s="13"/>
      <c r="Y21" s="19">
        <v>2.88</v>
      </c>
      <c r="Z21" s="19">
        <v>304</v>
      </c>
      <c r="AA21" s="19">
        <v>3317</v>
      </c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24">
        <f t="shared" si="7"/>
        <v>2548.3870967741946</v>
      </c>
      <c r="BE21" s="23">
        <f t="shared" si="0"/>
        <v>3.2342935483870989</v>
      </c>
      <c r="BF21" s="23">
        <f t="shared" si="1"/>
        <v>1.6838400000000013</v>
      </c>
      <c r="BG21" s="34">
        <f t="shared" si="2"/>
        <v>5.4460328485161371</v>
      </c>
      <c r="BH21" s="13">
        <f t="shared" si="8"/>
        <v>54.463081290322648</v>
      </c>
      <c r="BI21" s="13">
        <f t="shared" si="9"/>
        <v>0.53428282745806521</v>
      </c>
      <c r="BJ21" s="13">
        <f t="shared" si="3"/>
        <v>6.8388201914632352E-2</v>
      </c>
      <c r="BK21" s="13">
        <f t="shared" si="10"/>
        <v>18.250560898565286</v>
      </c>
      <c r="BL21" s="13">
        <f t="shared" si="11"/>
        <v>5.4460328485161371</v>
      </c>
      <c r="BM21" s="13">
        <f t="shared" si="12"/>
        <v>3.3511661435420752</v>
      </c>
      <c r="BN21" s="41"/>
      <c r="BO21" s="24">
        <f t="shared" si="13"/>
        <v>2548.3870967741946</v>
      </c>
      <c r="BP21" s="23">
        <f t="shared" si="14"/>
        <v>3.3624838709677438</v>
      </c>
      <c r="BQ21" s="23">
        <f t="shared" si="15"/>
        <v>1.8611625806451628</v>
      </c>
      <c r="BR21" s="19">
        <f t="shared" si="16"/>
        <v>160.27846129032275</v>
      </c>
      <c r="BS21" s="19">
        <f t="shared" si="4"/>
        <v>1.5723317052580663</v>
      </c>
      <c r="BT21" s="19">
        <f t="shared" si="17"/>
        <v>0.52411056841935544</v>
      </c>
      <c r="BU21" s="19">
        <f t="shared" si="5"/>
        <v>139.86786578274578</v>
      </c>
      <c r="BV21" s="19">
        <f t="shared" si="6"/>
        <v>6.258129158668063</v>
      </c>
      <c r="BW21" s="19">
        <f t="shared" si="18"/>
        <v>22.349788928375887</v>
      </c>
      <c r="BX21" s="13"/>
      <c r="BY21" s="13"/>
      <c r="BZ21" s="13"/>
      <c r="CC21" s="19"/>
      <c r="CD21" s="19">
        <v>2600</v>
      </c>
      <c r="CE21" s="23">
        <f>0.0018304*CD21-1.3330731</f>
        <v>3.4259668999999997</v>
      </c>
      <c r="CF21" s="23">
        <f>0.001352*CD21-1.595325</f>
        <v>1.9198749999999996</v>
      </c>
      <c r="CG21" s="23">
        <f>0.04358*CD21-110.88851</f>
        <v>2.4194900000000104</v>
      </c>
      <c r="CH21" s="23">
        <f>9.81*CG21/1000</f>
        <v>2.3735196900000102E-2</v>
      </c>
      <c r="CI21" s="22">
        <f>CH21*64/1000</f>
        <v>1.5190526016000065E-3</v>
      </c>
      <c r="CJ21" s="19"/>
    </row>
    <row r="22" spans="1:91" x14ac:dyDescent="0.3">
      <c r="U22" s="19">
        <v>4.84</v>
      </c>
      <c r="V22" s="19">
        <v>310</v>
      </c>
      <c r="W22" s="19">
        <v>3295</v>
      </c>
      <c r="X22" s="13"/>
      <c r="Y22" s="19">
        <v>2.85</v>
      </c>
      <c r="Z22" s="19">
        <v>296</v>
      </c>
      <c r="AA22" s="19">
        <v>3286</v>
      </c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24">
        <f t="shared" si="7"/>
        <v>2645.1612903225819</v>
      </c>
      <c r="BE22" s="23">
        <f t="shared" si="0"/>
        <v>3.4326806451612932</v>
      </c>
      <c r="BF22" s="23">
        <f t="shared" si="1"/>
        <v>1.8338400000000012</v>
      </c>
      <c r="BG22" s="34">
        <f t="shared" si="2"/>
        <v>6.2949870743225906</v>
      </c>
      <c r="BH22" s="13">
        <f t="shared" si="8"/>
        <v>61.083403870967814</v>
      </c>
      <c r="BI22" s="13">
        <f t="shared" si="9"/>
        <v>0.5992281919741943</v>
      </c>
      <c r="BJ22" s="13">
        <f t="shared" si="3"/>
        <v>7.6701208572696869E-2</v>
      </c>
      <c r="BK22" s="13">
        <f t="shared" si="10"/>
        <v>21.246333743938425</v>
      </c>
      <c r="BL22" s="13">
        <f t="shared" si="11"/>
        <v>6.2949870743225906</v>
      </c>
      <c r="BM22" s="13">
        <f t="shared" si="12"/>
        <v>3.3751195186091407</v>
      </c>
      <c r="BN22" s="41"/>
      <c r="BO22" s="24">
        <f t="shared" si="13"/>
        <v>2645.1612903225819</v>
      </c>
      <c r="BP22" s="23">
        <f t="shared" si="14"/>
        <v>3.5434516129032274</v>
      </c>
      <c r="BQ22" s="23">
        <f t="shared" si="15"/>
        <v>1.9918077419354856</v>
      </c>
      <c r="BR22" s="19">
        <f t="shared" si="16"/>
        <v>179.13878387096793</v>
      </c>
      <c r="BS22" s="19">
        <f t="shared" si="4"/>
        <v>1.7573514697741954</v>
      </c>
      <c r="BT22" s="19">
        <f t="shared" si="17"/>
        <v>0.58578382325806511</v>
      </c>
      <c r="BU22" s="19">
        <f t="shared" si="5"/>
        <v>162.26287489257862</v>
      </c>
      <c r="BV22" s="19">
        <f t="shared" si="6"/>
        <v>7.0578743557544321</v>
      </c>
      <c r="BW22" s="19">
        <f t="shared" si="18"/>
        <v>22.990332033933463</v>
      </c>
      <c r="BX22" s="13"/>
      <c r="BY22" s="13"/>
      <c r="BZ22" s="13"/>
      <c r="CC22" s="19"/>
      <c r="CD22" s="19">
        <v>2800</v>
      </c>
      <c r="CE22" s="23">
        <f t="shared" ref="CE22:CE28" si="20">0.0018304*CD22-1.3330731</f>
        <v>3.7920468999999999</v>
      </c>
      <c r="CF22" s="23">
        <f t="shared" ref="CF22:CF28" si="21">0.001352*CD22-1.595325</f>
        <v>2.1902749999999997</v>
      </c>
      <c r="CG22" s="23">
        <f t="shared" ref="CG22:CG28" si="22">0.04358*CD22-110.88851</f>
        <v>11.135490000000004</v>
      </c>
      <c r="CH22" s="23">
        <f t="shared" ref="CH22:CH28" si="23">9.81*CG22/1000</f>
        <v>0.10923915690000005</v>
      </c>
      <c r="CI22" s="22">
        <f t="shared" ref="CI22:CI28" si="24">CH22*64/1000</f>
        <v>6.991306041600003E-3</v>
      </c>
      <c r="CJ22" s="19"/>
    </row>
    <row r="23" spans="1:91" x14ac:dyDescent="0.3">
      <c r="A23" t="s">
        <v>18</v>
      </c>
      <c r="B23" t="s">
        <v>15</v>
      </c>
      <c r="C23" t="s">
        <v>13</v>
      </c>
      <c r="K23" t="s">
        <v>19</v>
      </c>
      <c r="L23" t="s">
        <v>12</v>
      </c>
      <c r="M23" t="s">
        <v>22</v>
      </c>
      <c r="U23" s="19">
        <v>4.0999999999999996</v>
      </c>
      <c r="V23" s="19">
        <v>260</v>
      </c>
      <c r="W23" s="19">
        <v>2940</v>
      </c>
      <c r="X23" s="13"/>
      <c r="Y23" s="19">
        <v>2.84</v>
      </c>
      <c r="Z23" s="19">
        <v>300</v>
      </c>
      <c r="AA23" s="19">
        <v>3236</v>
      </c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24">
        <f t="shared" si="7"/>
        <v>2741.9354838709692</v>
      </c>
      <c r="BE23" s="23">
        <f t="shared" si="0"/>
        <v>3.6310677419354875</v>
      </c>
      <c r="BF23" s="23">
        <f t="shared" si="1"/>
        <v>1.9838400000000016</v>
      </c>
      <c r="BG23" s="34">
        <f t="shared" si="2"/>
        <v>7.2034574291613032</v>
      </c>
      <c r="BH23" s="13">
        <f t="shared" si="8"/>
        <v>67.703726451613008</v>
      </c>
      <c r="BI23" s="13">
        <f t="shared" si="9"/>
        <v>0.66417355649032372</v>
      </c>
      <c r="BJ23" s="13">
        <f t="shared" si="3"/>
        <v>8.5014215230761442E-2</v>
      </c>
      <c r="BK23" s="13">
        <f t="shared" si="10"/>
        <v>24.410597826195296</v>
      </c>
      <c r="BL23" s="13">
        <f t="shared" si="11"/>
        <v>7.2034574291613032</v>
      </c>
      <c r="BM23" s="13">
        <f t="shared" si="12"/>
        <v>3.388733544447061</v>
      </c>
      <c r="BN23" s="41"/>
      <c r="BO23" s="24">
        <f t="shared" si="13"/>
        <v>2741.9354838709692</v>
      </c>
      <c r="BP23" s="23">
        <f t="shared" si="14"/>
        <v>3.7244193548387119</v>
      </c>
      <c r="BQ23" s="23">
        <f t="shared" si="15"/>
        <v>2.1224529032258088</v>
      </c>
      <c r="BR23" s="19">
        <f t="shared" si="16"/>
        <v>197.99910645161322</v>
      </c>
      <c r="BS23" s="19">
        <f t="shared" si="4"/>
        <v>1.9423712342903257</v>
      </c>
      <c r="BT23" s="19">
        <f t="shared" si="17"/>
        <v>0.64745707809677522</v>
      </c>
      <c r="BU23" s="19">
        <f t="shared" si="5"/>
        <v>185.90790140500059</v>
      </c>
      <c r="BV23" s="19">
        <f t="shared" si="6"/>
        <v>7.9049046725078176</v>
      </c>
      <c r="BW23" s="19">
        <f t="shared" si="18"/>
        <v>23.518044695916821</v>
      </c>
      <c r="BX23" s="13"/>
      <c r="BY23" s="13"/>
      <c r="BZ23" s="13"/>
      <c r="CC23" s="19"/>
      <c r="CD23" s="19">
        <v>3000</v>
      </c>
      <c r="CE23" s="23">
        <f t="shared" si="20"/>
        <v>4.1581269000000001</v>
      </c>
      <c r="CF23" s="23">
        <f t="shared" si="21"/>
        <v>2.4606750000000002</v>
      </c>
      <c r="CG23" s="23">
        <f t="shared" si="22"/>
        <v>19.851490000000013</v>
      </c>
      <c r="CH23" s="23">
        <f t="shared" si="23"/>
        <v>0.19474311690000012</v>
      </c>
      <c r="CI23" s="22">
        <f t="shared" si="24"/>
        <v>1.2463559481600007E-2</v>
      </c>
      <c r="CJ23" s="19"/>
    </row>
    <row r="24" spans="1:91" x14ac:dyDescent="0.3">
      <c r="A24" s="1" t="s">
        <v>0</v>
      </c>
      <c r="B24" s="1" t="s">
        <v>1</v>
      </c>
      <c r="C24" s="1" t="s">
        <v>2</v>
      </c>
      <c r="F24" s="1" t="s">
        <v>3</v>
      </c>
      <c r="G24" s="1" t="s">
        <v>1</v>
      </c>
      <c r="H24" s="1" t="s">
        <v>2</v>
      </c>
      <c r="K24" s="1" t="s">
        <v>0</v>
      </c>
      <c r="L24" s="1" t="s">
        <v>1</v>
      </c>
      <c r="M24" s="1" t="s">
        <v>2</v>
      </c>
      <c r="P24" s="1" t="s">
        <v>3</v>
      </c>
      <c r="Q24" s="1" t="s">
        <v>1</v>
      </c>
      <c r="R24" s="1" t="s">
        <v>2</v>
      </c>
      <c r="U24" s="19">
        <v>4.08</v>
      </c>
      <c r="V24" s="19">
        <v>245</v>
      </c>
      <c r="W24" s="19">
        <v>2949</v>
      </c>
      <c r="X24" s="13"/>
      <c r="Y24" s="19">
        <v>2.35</v>
      </c>
      <c r="Z24" s="19">
        <v>235</v>
      </c>
      <c r="AA24" s="19">
        <v>2941</v>
      </c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24">
        <f t="shared" si="7"/>
        <v>2838.7096774193565</v>
      </c>
      <c r="BE24" s="23">
        <f t="shared" si="0"/>
        <v>3.829454838709681</v>
      </c>
      <c r="BF24" s="23">
        <f t="shared" si="1"/>
        <v>2.133840000000002</v>
      </c>
      <c r="BG24" s="34">
        <f t="shared" si="2"/>
        <v>8.1714439130322738</v>
      </c>
      <c r="BH24" s="13">
        <f t="shared" si="8"/>
        <v>74.324049032258173</v>
      </c>
      <c r="BI24" s="13">
        <f t="shared" si="9"/>
        <v>0.7291189210064527</v>
      </c>
      <c r="BJ24" s="13">
        <f t="shared" si="3"/>
        <v>9.3327221888825945E-2</v>
      </c>
      <c r="BK24" s="13">
        <f t="shared" si="10"/>
        <v>27.743353145335856</v>
      </c>
      <c r="BL24" s="13">
        <f t="shared" si="11"/>
        <v>8.1714439130322738</v>
      </c>
      <c r="BM24" s="13">
        <f t="shared" si="12"/>
        <v>3.3951592204027996</v>
      </c>
      <c r="BN24" s="41"/>
      <c r="BO24" s="24">
        <f t="shared" si="13"/>
        <v>2838.7096774193565</v>
      </c>
      <c r="BP24" s="23">
        <f t="shared" si="14"/>
        <v>3.9053870967741964</v>
      </c>
      <c r="BQ24" s="23">
        <f t="shared" si="15"/>
        <v>2.2530980645161316</v>
      </c>
      <c r="BR24" s="19">
        <f t="shared" si="16"/>
        <v>216.85942903225839</v>
      </c>
      <c r="BS24" s="19">
        <f t="shared" si="4"/>
        <v>2.1273909988064545</v>
      </c>
      <c r="BT24" s="19">
        <f t="shared" si="17"/>
        <v>0.70913033293548478</v>
      </c>
      <c r="BU24" s="19">
        <f t="shared" si="5"/>
        <v>210.80294532001136</v>
      </c>
      <c r="BV24" s="19">
        <f t="shared" si="6"/>
        <v>8.7992201089282158</v>
      </c>
      <c r="BW24" s="19">
        <f t="shared" si="18"/>
        <v>23.957003315114036</v>
      </c>
      <c r="BX24" s="13"/>
      <c r="BY24" s="13"/>
      <c r="BZ24" s="13"/>
      <c r="CC24" s="19"/>
      <c r="CD24" s="19">
        <v>3200</v>
      </c>
      <c r="CE24" s="23">
        <f t="shared" si="20"/>
        <v>4.5242069000000003</v>
      </c>
      <c r="CF24" s="23">
        <f t="shared" si="21"/>
        <v>2.7310749999999997</v>
      </c>
      <c r="CG24" s="23">
        <f t="shared" si="22"/>
        <v>28.567489999999992</v>
      </c>
      <c r="CH24" s="23">
        <f t="shared" si="23"/>
        <v>0.28024707689999989</v>
      </c>
      <c r="CI24" s="22">
        <f t="shared" si="24"/>
        <v>1.7935812921599993E-2</v>
      </c>
      <c r="CJ24" s="19"/>
    </row>
    <row r="25" spans="1:91" x14ac:dyDescent="0.3">
      <c r="A25" s="1">
        <v>4.3</v>
      </c>
      <c r="B25" s="1">
        <v>101</v>
      </c>
      <c r="C25" s="1">
        <v>3065</v>
      </c>
      <c r="F25" s="1">
        <v>2.44</v>
      </c>
      <c r="G25" s="1">
        <v>88</v>
      </c>
      <c r="H25" s="1">
        <v>3045</v>
      </c>
      <c r="K25" s="1">
        <v>5.3</v>
      </c>
      <c r="L25" s="1">
        <v>384</v>
      </c>
      <c r="M25" s="1">
        <v>3612</v>
      </c>
      <c r="P25" s="1">
        <v>3.23</v>
      </c>
      <c r="Q25" s="1">
        <v>360</v>
      </c>
      <c r="R25" s="1">
        <v>3566</v>
      </c>
      <c r="U25" s="19">
        <v>4.05</v>
      </c>
      <c r="V25" s="19">
        <v>250</v>
      </c>
      <c r="W25" s="19">
        <v>2914</v>
      </c>
      <c r="X25" s="13"/>
      <c r="Y25" s="19">
        <v>2.2999999999999998</v>
      </c>
      <c r="Z25" s="19">
        <v>225</v>
      </c>
      <c r="AA25" s="19">
        <v>2870</v>
      </c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24">
        <f t="shared" si="7"/>
        <v>2935.4838709677438</v>
      </c>
      <c r="BE25" s="23">
        <f t="shared" si="0"/>
        <v>4.0278419354838757</v>
      </c>
      <c r="BF25" s="23">
        <f t="shared" si="1"/>
        <v>2.2838400000000023</v>
      </c>
      <c r="BG25" s="34">
        <f t="shared" si="2"/>
        <v>9.1989465259355043</v>
      </c>
      <c r="BH25" s="13">
        <f t="shared" si="8"/>
        <v>80.944371612903339</v>
      </c>
      <c r="BI25" s="13">
        <f t="shared" si="9"/>
        <v>0.79406428552258179</v>
      </c>
      <c r="BJ25" s="13">
        <f t="shared" si="3"/>
        <v>0.10164022854689046</v>
      </c>
      <c r="BK25" s="13">
        <f t="shared" si="10"/>
        <v>31.244599701360134</v>
      </c>
      <c r="BL25" s="13">
        <f t="shared" si="11"/>
        <v>9.1989465259355043</v>
      </c>
      <c r="BM25" s="13">
        <f t="shared" si="12"/>
        <v>3.3965410727488337</v>
      </c>
      <c r="BN25" s="41"/>
      <c r="BO25" s="24">
        <f t="shared" si="13"/>
        <v>2935.4838709677438</v>
      </c>
      <c r="BP25" s="23">
        <f t="shared" si="14"/>
        <v>4.0863548387096813</v>
      </c>
      <c r="BQ25" s="23">
        <f t="shared" si="15"/>
        <v>2.3837432258064544</v>
      </c>
      <c r="BR25" s="19">
        <f t="shared" si="16"/>
        <v>235.71975161290356</v>
      </c>
      <c r="BS25" s="19">
        <f t="shared" si="4"/>
        <v>2.3124107633225841</v>
      </c>
      <c r="BT25" s="19">
        <f t="shared" si="17"/>
        <v>0.77080358777419467</v>
      </c>
      <c r="BU25" s="19">
        <f t="shared" si="5"/>
        <v>236.94800663761123</v>
      </c>
      <c r="BV25" s="19">
        <f t="shared" si="6"/>
        <v>9.7408206650156295</v>
      </c>
      <c r="BW25" s="19">
        <f t="shared" si="18"/>
        <v>24.325261164966847</v>
      </c>
      <c r="BX25" s="13"/>
      <c r="BY25" s="13"/>
      <c r="BZ25" s="13"/>
      <c r="CC25" s="19"/>
      <c r="CD25" s="19">
        <v>3400</v>
      </c>
      <c r="CE25" s="23">
        <f t="shared" si="20"/>
        <v>4.8902869000000004</v>
      </c>
      <c r="CF25" s="23">
        <f t="shared" si="21"/>
        <v>3.0014750000000001</v>
      </c>
      <c r="CG25" s="23">
        <f t="shared" si="22"/>
        <v>37.28349</v>
      </c>
      <c r="CH25" s="23">
        <f t="shared" si="23"/>
        <v>0.36575103690000005</v>
      </c>
      <c r="CI25" s="22">
        <f t="shared" si="24"/>
        <v>2.3408066361600002E-2</v>
      </c>
      <c r="CJ25" s="19"/>
    </row>
    <row r="26" spans="1:91" x14ac:dyDescent="0.3">
      <c r="A26" s="1">
        <v>4.26</v>
      </c>
      <c r="B26" s="1">
        <v>97</v>
      </c>
      <c r="C26" s="1">
        <v>3062</v>
      </c>
      <c r="F26" s="1">
        <v>2.42</v>
      </c>
      <c r="G26" s="1">
        <v>86</v>
      </c>
      <c r="H26" s="1">
        <v>2995</v>
      </c>
      <c r="K26" s="1">
        <v>5.3</v>
      </c>
      <c r="L26" s="1">
        <v>370</v>
      </c>
      <c r="M26" s="1">
        <v>3552</v>
      </c>
      <c r="P26" s="1">
        <v>3.17</v>
      </c>
      <c r="Q26" s="1">
        <v>345</v>
      </c>
      <c r="R26" s="1">
        <v>3471</v>
      </c>
      <c r="U26" s="13"/>
      <c r="V26" s="13"/>
      <c r="W26" s="13"/>
      <c r="X26" s="13"/>
      <c r="Y26" s="19">
        <v>2.29</v>
      </c>
      <c r="Z26" s="19">
        <v>220</v>
      </c>
      <c r="AA26" s="19">
        <v>2842</v>
      </c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24">
        <f t="shared" si="7"/>
        <v>3032.2580645161311</v>
      </c>
      <c r="BE26" s="23">
        <f t="shared" si="0"/>
        <v>4.22622903225807</v>
      </c>
      <c r="BF26" s="23">
        <f t="shared" si="1"/>
        <v>2.4338400000000027</v>
      </c>
      <c r="BG26" s="34">
        <f t="shared" si="2"/>
        <v>10.285965267870992</v>
      </c>
      <c r="BH26" s="13">
        <f t="shared" si="8"/>
        <v>87.564694193548533</v>
      </c>
      <c r="BI26" s="13">
        <f t="shared" si="9"/>
        <v>0.8590096500387111</v>
      </c>
      <c r="BJ26" s="13">
        <f t="shared" si="3"/>
        <v>0.10995323520495502</v>
      </c>
      <c r="BK26" s="13">
        <f t="shared" si="10"/>
        <v>34.914337494268139</v>
      </c>
      <c r="BL26" s="13">
        <f t="shared" si="11"/>
        <v>10.285965267870992</v>
      </c>
      <c r="BM26" s="13">
        <f t="shared" si="12"/>
        <v>3.3943666525227121</v>
      </c>
      <c r="BN26" s="41"/>
      <c r="BO26" s="24">
        <f t="shared" si="13"/>
        <v>3032.2580645161311</v>
      </c>
      <c r="BP26" s="23">
        <f t="shared" si="14"/>
        <v>4.267322580645164</v>
      </c>
      <c r="BQ26" s="23">
        <f t="shared" si="15"/>
        <v>2.5143883870967771</v>
      </c>
      <c r="BR26" s="19">
        <f t="shared" si="16"/>
        <v>254.58007419354874</v>
      </c>
      <c r="BS26" s="19">
        <f t="shared" si="4"/>
        <v>2.4974305278387132</v>
      </c>
      <c r="BT26" s="19">
        <f t="shared" si="17"/>
        <v>0.83247684261290433</v>
      </c>
      <c r="BU26" s="19">
        <f t="shared" si="5"/>
        <v>264.34308535779996</v>
      </c>
      <c r="BV26" s="19">
        <f t="shared" si="6"/>
        <v>10.729706340770051</v>
      </c>
      <c r="BW26" s="19">
        <f t="shared" si="18"/>
        <v>24.63656291816357</v>
      </c>
      <c r="BX26" s="13"/>
      <c r="BY26" s="13"/>
      <c r="BZ26" s="13"/>
      <c r="CC26" s="19"/>
      <c r="CD26" s="19">
        <v>3600</v>
      </c>
      <c r="CE26" s="23">
        <f t="shared" si="20"/>
        <v>5.2563668999999997</v>
      </c>
      <c r="CF26" s="23">
        <f t="shared" si="21"/>
        <v>3.2718749999999996</v>
      </c>
      <c r="CG26" s="23">
        <f t="shared" si="22"/>
        <v>45.999490000000009</v>
      </c>
      <c r="CH26" s="23">
        <f t="shared" si="23"/>
        <v>0.45125499690000009</v>
      </c>
      <c r="CI26" s="22">
        <f t="shared" si="24"/>
        <v>2.8880319801600007E-2</v>
      </c>
      <c r="CJ26" s="19"/>
    </row>
    <row r="27" spans="1:91" x14ac:dyDescent="0.3">
      <c r="A27" s="1">
        <v>4.22</v>
      </c>
      <c r="B27" s="1">
        <v>95</v>
      </c>
      <c r="C27" s="1">
        <v>3035</v>
      </c>
      <c r="F27" s="1">
        <v>2.4</v>
      </c>
      <c r="G27" s="1">
        <v>87</v>
      </c>
      <c r="H27" s="1">
        <v>3011</v>
      </c>
      <c r="K27" s="1">
        <v>5.25</v>
      </c>
      <c r="L27" s="1">
        <v>360</v>
      </c>
      <c r="M27" s="1">
        <v>3563</v>
      </c>
      <c r="P27" s="1">
        <v>3.18</v>
      </c>
      <c r="Q27" s="1">
        <v>352</v>
      </c>
      <c r="R27" s="1">
        <v>3499</v>
      </c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24">
        <f t="shared" si="7"/>
        <v>3129.0322580645184</v>
      </c>
      <c r="BE27" s="23">
        <f t="shared" si="0"/>
        <v>4.4246161290322625</v>
      </c>
      <c r="BF27" s="23">
        <f t="shared" si="1"/>
        <v>2.583840000000003</v>
      </c>
      <c r="BG27" s="34">
        <f t="shared" si="2"/>
        <v>11.432500138838735</v>
      </c>
      <c r="BH27" s="13">
        <f t="shared" si="8"/>
        <v>94.185016774193699</v>
      </c>
      <c r="BI27" s="13">
        <f t="shared" si="9"/>
        <v>0.92395501455484019</v>
      </c>
      <c r="BJ27" s="13">
        <f t="shared" si="3"/>
        <v>0.11826624186301954</v>
      </c>
      <c r="BK27" s="13">
        <f t="shared" si="10"/>
        <v>38.752566524059844</v>
      </c>
      <c r="BL27" s="13">
        <f t="shared" si="11"/>
        <v>11.432500138838735</v>
      </c>
      <c r="BM27" s="13">
        <f t="shared" si="12"/>
        <v>3.3896843256890756</v>
      </c>
      <c r="BN27" s="41"/>
      <c r="BO27" s="24">
        <f t="shared" si="13"/>
        <v>3129.0322580645184</v>
      </c>
      <c r="BP27" s="23">
        <f t="shared" si="14"/>
        <v>4.4482903225806485</v>
      </c>
      <c r="BQ27" s="23">
        <f t="shared" si="15"/>
        <v>2.6450335483870999</v>
      </c>
      <c r="BR27" s="19">
        <f t="shared" si="16"/>
        <v>273.44039677419403</v>
      </c>
      <c r="BS27" s="19">
        <f t="shared" si="4"/>
        <v>2.6824502923548432</v>
      </c>
      <c r="BT27" s="19">
        <f t="shared" si="17"/>
        <v>0.89415009745161433</v>
      </c>
      <c r="BU27" s="19">
        <f t="shared" si="5"/>
        <v>292.98818148057779</v>
      </c>
      <c r="BV27" s="19">
        <f t="shared" si="6"/>
        <v>11.76587713619149</v>
      </c>
      <c r="BW27" s="19">
        <f t="shared" si="18"/>
        <v>24.901516316140579</v>
      </c>
      <c r="BX27" s="13"/>
      <c r="BY27" s="13"/>
      <c r="BZ27" s="13"/>
      <c r="CC27" s="19"/>
      <c r="CD27" s="19">
        <v>3800</v>
      </c>
      <c r="CE27" s="23">
        <f t="shared" si="20"/>
        <v>5.6224468999999999</v>
      </c>
      <c r="CF27" s="23">
        <f t="shared" si="21"/>
        <v>3.5422750000000001</v>
      </c>
      <c r="CG27" s="23">
        <f t="shared" si="22"/>
        <v>54.715490000000017</v>
      </c>
      <c r="CH27" s="23">
        <f t="shared" si="23"/>
        <v>0.53675895690000019</v>
      </c>
      <c r="CI27" s="22">
        <f t="shared" si="24"/>
        <v>3.4352573241600015E-2</v>
      </c>
      <c r="CJ27" s="19"/>
    </row>
    <row r="28" spans="1:91" x14ac:dyDescent="0.3">
      <c r="A28" s="1"/>
      <c r="B28" s="1"/>
      <c r="C28" s="1"/>
      <c r="F28" s="1"/>
      <c r="G28" s="1"/>
      <c r="H28" s="1"/>
      <c r="K28" s="1"/>
      <c r="L28" s="1"/>
      <c r="M28" s="1"/>
      <c r="P28" s="1"/>
      <c r="Q28" s="1"/>
      <c r="R28" s="1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24">
        <f t="shared" si="7"/>
        <v>3225.8064516129057</v>
      </c>
      <c r="BE28" s="23">
        <f t="shared" si="0"/>
        <v>4.6230032258064568</v>
      </c>
      <c r="BF28" s="23">
        <f t="shared" si="1"/>
        <v>2.7338400000000034</v>
      </c>
      <c r="BG28" s="34">
        <f t="shared" si="2"/>
        <v>12.638551138838739</v>
      </c>
      <c r="BH28" s="13">
        <f t="shared" si="8"/>
        <v>100.80533935483886</v>
      </c>
      <c r="BI28" s="13">
        <f t="shared" si="9"/>
        <v>0.98890037907096928</v>
      </c>
      <c r="BJ28" s="13">
        <f t="shared" si="3"/>
        <v>0.12657924852108407</v>
      </c>
      <c r="BK28" s="13">
        <f t="shared" si="10"/>
        <v>42.759286790735267</v>
      </c>
      <c r="BL28" s="13">
        <f t="shared" si="11"/>
        <v>12.638551138838739</v>
      </c>
      <c r="BM28" s="13">
        <f t="shared" si="12"/>
        <v>3.3832427721350418</v>
      </c>
      <c r="BN28" s="41"/>
      <c r="BO28" s="24">
        <f t="shared" si="13"/>
        <v>3225.8064516129057</v>
      </c>
      <c r="BP28" s="23">
        <f t="shared" si="14"/>
        <v>4.629258064516133</v>
      </c>
      <c r="BQ28" s="23">
        <f t="shared" si="15"/>
        <v>2.7756787096774227</v>
      </c>
      <c r="BR28" s="19">
        <f t="shared" si="16"/>
        <v>292.3007193548392</v>
      </c>
      <c r="BS28" s="19">
        <f t="shared" si="4"/>
        <v>2.8674700568709728</v>
      </c>
      <c r="BT28" s="19">
        <f t="shared" si="17"/>
        <v>0.95582335229032422</v>
      </c>
      <c r="BU28" s="19">
        <f t="shared" si="5"/>
        <v>322.8832950059446</v>
      </c>
      <c r="BV28" s="19">
        <f t="shared" si="6"/>
        <v>12.849333051279944</v>
      </c>
      <c r="BW28" s="19">
        <f t="shared" si="18"/>
        <v>25.128408900085415</v>
      </c>
      <c r="BX28" s="13"/>
      <c r="BY28" s="13"/>
      <c r="BZ28" s="13"/>
      <c r="CC28" s="19"/>
      <c r="CD28" s="19">
        <v>4000</v>
      </c>
      <c r="CE28" s="23">
        <f t="shared" si="20"/>
        <v>5.9885269000000001</v>
      </c>
      <c r="CF28" s="23">
        <f t="shared" si="21"/>
        <v>3.8126749999999996</v>
      </c>
      <c r="CG28" s="23">
        <f t="shared" si="22"/>
        <v>63.431489999999997</v>
      </c>
      <c r="CH28" s="23">
        <f t="shared" si="23"/>
        <v>0.62226291690000002</v>
      </c>
      <c r="CI28" s="22">
        <f t="shared" si="24"/>
        <v>3.9824826681599999E-2</v>
      </c>
      <c r="CJ28" s="19"/>
    </row>
    <row r="29" spans="1:91" x14ac:dyDescent="0.3">
      <c r="A29" s="1"/>
      <c r="B29" s="1"/>
      <c r="C29" s="1"/>
      <c r="F29" s="1"/>
      <c r="G29" s="1"/>
      <c r="H29" s="1"/>
      <c r="K29" s="1"/>
      <c r="L29" s="1"/>
      <c r="M29" s="1"/>
      <c r="P29" s="1"/>
      <c r="Q29" s="1"/>
      <c r="R29" s="1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24">
        <f t="shared" si="7"/>
        <v>3322.580645161293</v>
      </c>
      <c r="BE29" s="23">
        <f t="shared" si="0"/>
        <v>4.8213903225806511</v>
      </c>
      <c r="BF29" s="23">
        <f t="shared" si="1"/>
        <v>2.8838400000000037</v>
      </c>
      <c r="BG29" s="34">
        <f t="shared" si="2"/>
        <v>13.904118267871002</v>
      </c>
      <c r="BH29" s="13">
        <f t="shared" si="8"/>
        <v>107.42566193548406</v>
      </c>
      <c r="BI29" s="13">
        <f t="shared" si="9"/>
        <v>1.0538457435870987</v>
      </c>
      <c r="BJ29" s="13">
        <f t="shared" si="3"/>
        <v>0.13489225517914863</v>
      </c>
      <c r="BK29" s="13">
        <f t="shared" si="10"/>
        <v>46.934498294294414</v>
      </c>
      <c r="BL29" s="13">
        <f t="shared" si="11"/>
        <v>13.904118267871002</v>
      </c>
      <c r="BM29" s="13">
        <f t="shared" si="12"/>
        <v>3.3755824993770727</v>
      </c>
      <c r="BN29" s="41"/>
      <c r="BO29" s="24">
        <f t="shared" si="13"/>
        <v>3322.580645161293</v>
      </c>
      <c r="BP29" s="23">
        <f t="shared" si="14"/>
        <v>4.8102258064516175</v>
      </c>
      <c r="BQ29" s="23">
        <f t="shared" si="15"/>
        <v>2.9063238709677455</v>
      </c>
      <c r="BR29" s="19">
        <f t="shared" si="16"/>
        <v>311.16104193548438</v>
      </c>
      <c r="BS29" s="19">
        <f t="shared" si="4"/>
        <v>3.0524898213871019</v>
      </c>
      <c r="BT29" s="19">
        <f t="shared" si="17"/>
        <v>1.0174966071290339</v>
      </c>
      <c r="BU29" s="19">
        <f t="shared" si="5"/>
        <v>354.02842593390028</v>
      </c>
      <c r="BV29" s="19">
        <f t="shared" si="6"/>
        <v>13.98007408603541</v>
      </c>
      <c r="BW29" s="19">
        <f t="shared" si="18"/>
        <v>25.323787538975676</v>
      </c>
      <c r="BX29" s="13"/>
      <c r="BY29" s="13"/>
      <c r="BZ29" s="13"/>
      <c r="CC29" s="19"/>
      <c r="CD29" s="19"/>
      <c r="CE29" s="19"/>
      <c r="CF29" s="19"/>
      <c r="CG29" s="19"/>
      <c r="CH29" s="19"/>
      <c r="CI29" s="19"/>
      <c r="CJ29" s="19"/>
    </row>
    <row r="30" spans="1:91" x14ac:dyDescent="0.3">
      <c r="A30" s="1"/>
      <c r="B30" s="1"/>
      <c r="C30" s="1"/>
      <c r="F30" s="1"/>
      <c r="G30" s="1"/>
      <c r="H30" s="1"/>
      <c r="K30" s="1"/>
      <c r="L30" s="1"/>
      <c r="M30" s="1"/>
      <c r="P30" s="1"/>
      <c r="Q30" s="1"/>
      <c r="R30" s="1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24">
        <f t="shared" si="7"/>
        <v>3419.3548387096803</v>
      </c>
      <c r="BE30" s="23">
        <f t="shared" si="0"/>
        <v>5.0197774193548454</v>
      </c>
      <c r="BF30" s="23">
        <f t="shared" si="1"/>
        <v>3.0338400000000041</v>
      </c>
      <c r="BG30" s="34">
        <f t="shared" si="2"/>
        <v>15.229201525935524</v>
      </c>
      <c r="BH30" s="13">
        <f t="shared" si="8"/>
        <v>114.04598451612922</v>
      </c>
      <c r="BI30" s="13">
        <f t="shared" si="9"/>
        <v>1.1187911081032278</v>
      </c>
      <c r="BJ30" s="13">
        <f t="shared" si="3"/>
        <v>0.14320526183721316</v>
      </c>
      <c r="BK30" s="13">
        <f t="shared" si="10"/>
        <v>51.278201034737265</v>
      </c>
      <c r="BL30" s="13">
        <f t="shared" si="11"/>
        <v>15.229201525935524</v>
      </c>
      <c r="BM30" s="13">
        <f t="shared" si="12"/>
        <v>3.3670971486856902</v>
      </c>
      <c r="BN30" s="41"/>
      <c r="BO30" s="24">
        <f t="shared" si="13"/>
        <v>3419.3548387096803</v>
      </c>
      <c r="BP30" s="23">
        <f t="shared" si="14"/>
        <v>4.9911935483871019</v>
      </c>
      <c r="BQ30" s="23">
        <f t="shared" si="15"/>
        <v>3.0369690322580691</v>
      </c>
      <c r="BR30" s="19">
        <f t="shared" si="16"/>
        <v>330.02136451612955</v>
      </c>
      <c r="BS30" s="19">
        <f t="shared" si="4"/>
        <v>3.2375095859032315</v>
      </c>
      <c r="BT30" s="19">
        <f t="shared" si="17"/>
        <v>1.0791698619677437</v>
      </c>
      <c r="BU30" s="19">
        <f t="shared" si="5"/>
        <v>386.42357426444494</v>
      </c>
      <c r="BV30" s="19">
        <f t="shared" si="6"/>
        <v>15.158100240457895</v>
      </c>
      <c r="BW30" s="19">
        <f t="shared" si="18"/>
        <v>25.492876292838915</v>
      </c>
      <c r="BX30" s="13"/>
      <c r="BY30" s="13"/>
      <c r="BZ30" s="13"/>
    </row>
    <row r="31" spans="1:91" x14ac:dyDescent="0.3">
      <c r="A31" s="1"/>
      <c r="B31" s="1"/>
      <c r="C31" s="1"/>
      <c r="F31" s="1"/>
      <c r="G31" s="1"/>
      <c r="H31" s="1"/>
      <c r="K31" s="1"/>
      <c r="L31" s="1"/>
      <c r="M31" s="1"/>
      <c r="P31" s="1"/>
      <c r="Q31" s="1"/>
      <c r="R31" s="1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24">
        <f t="shared" si="7"/>
        <v>3516.1290322580676</v>
      </c>
      <c r="BE31" s="23">
        <f t="shared" si="0"/>
        <v>5.2181645161290398</v>
      </c>
      <c r="BF31" s="23">
        <f t="shared" si="1"/>
        <v>3.1838400000000044</v>
      </c>
      <c r="BG31" s="34">
        <f t="shared" si="2"/>
        <v>16.613800913032303</v>
      </c>
      <c r="BH31" s="13">
        <f t="shared" si="8"/>
        <v>120.66630709677439</v>
      </c>
      <c r="BI31" s="13">
        <f t="shared" si="9"/>
        <v>1.1837364726193569</v>
      </c>
      <c r="BJ31" s="13">
        <f t="shared" si="3"/>
        <v>0.15151826849527769</v>
      </c>
      <c r="BK31" s="13">
        <f t="shared" si="10"/>
        <v>55.790395012063826</v>
      </c>
      <c r="BL31" s="13">
        <f t="shared" si="11"/>
        <v>16.613800913032303</v>
      </c>
      <c r="BM31" s="13">
        <f t="shared" si="12"/>
        <v>3.3580753317141516</v>
      </c>
      <c r="BN31" s="41"/>
      <c r="BO31" s="24">
        <f t="shared" si="13"/>
        <v>3516.1290322580676</v>
      </c>
      <c r="BP31" s="23">
        <f t="shared" si="14"/>
        <v>5.1721612903225864</v>
      </c>
      <c r="BQ31" s="23">
        <f t="shared" si="15"/>
        <v>3.1676141935483919</v>
      </c>
      <c r="BR31" s="19">
        <f t="shared" si="16"/>
        <v>348.88168709677484</v>
      </c>
      <c r="BS31" s="19">
        <f t="shared" si="4"/>
        <v>3.4225293504193615</v>
      </c>
      <c r="BT31" s="19">
        <f t="shared" si="17"/>
        <v>1.1408431168064537</v>
      </c>
      <c r="BU31" s="19">
        <f t="shared" si="5"/>
        <v>420.06873999757869</v>
      </c>
      <c r="BV31" s="19">
        <f t="shared" si="6"/>
        <v>16.38341151454739</v>
      </c>
      <c r="BW31" s="19">
        <f t="shared" si="18"/>
        <v>25.639882122510645</v>
      </c>
      <c r="BX31" s="13"/>
      <c r="BY31" s="13"/>
      <c r="BZ31" s="13"/>
    </row>
    <row r="32" spans="1:91" x14ac:dyDescent="0.3">
      <c r="A32" s="1"/>
      <c r="B32" s="1"/>
      <c r="C32" s="1"/>
      <c r="F32" s="1"/>
      <c r="G32" s="1"/>
      <c r="H32" s="1"/>
      <c r="K32" s="1"/>
      <c r="L32" s="1"/>
      <c r="M32" s="1"/>
      <c r="P32" s="1"/>
      <c r="Q32" s="1"/>
      <c r="R32" s="1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24">
        <f t="shared" si="7"/>
        <v>3612.9032258064549</v>
      </c>
      <c r="BE32" s="23">
        <f t="shared" si="0"/>
        <v>5.4165516129032323</v>
      </c>
      <c r="BF32" s="23">
        <f t="shared" si="1"/>
        <v>3.3338400000000048</v>
      </c>
      <c r="BG32" s="34">
        <f t="shared" si="2"/>
        <v>18.057916429161338</v>
      </c>
      <c r="BH32" s="13">
        <f t="shared" si="8"/>
        <v>127.28662967741958</v>
      </c>
      <c r="BI32" s="13">
        <f t="shared" si="9"/>
        <v>1.2486818371354862</v>
      </c>
      <c r="BJ32" s="13">
        <f t="shared" si="3"/>
        <v>0.15983127515334222</v>
      </c>
      <c r="BK32" s="13">
        <f t="shared" si="10"/>
        <v>60.471080226274104</v>
      </c>
      <c r="BL32" s="13">
        <f t="shared" si="11"/>
        <v>18.057916429161338</v>
      </c>
      <c r="BM32" s="13">
        <f t="shared" si="12"/>
        <v>3.348729653473236</v>
      </c>
      <c r="BN32" s="41"/>
      <c r="BO32" s="24">
        <f t="shared" si="13"/>
        <v>3612.9032258064549</v>
      </c>
      <c r="BP32" s="23">
        <f t="shared" si="14"/>
        <v>5.3531290322580709</v>
      </c>
      <c r="BQ32" s="23">
        <f t="shared" si="15"/>
        <v>3.2982593548387147</v>
      </c>
      <c r="BR32" s="19">
        <f t="shared" si="16"/>
        <v>367.74200967742001</v>
      </c>
      <c r="BS32" s="19">
        <f t="shared" si="4"/>
        <v>3.6075491149354906</v>
      </c>
      <c r="BT32" s="19">
        <f t="shared" si="17"/>
        <v>1.2025163716451635</v>
      </c>
      <c r="BU32" s="19">
        <f t="shared" si="5"/>
        <v>454.96392313330131</v>
      </c>
      <c r="BV32" s="19">
        <f t="shared" si="6"/>
        <v>17.656007908303899</v>
      </c>
      <c r="BW32" s="19">
        <f t="shared" si="18"/>
        <v>25.768221530945542</v>
      </c>
      <c r="BX32" s="13"/>
      <c r="BY32" s="13"/>
      <c r="BZ32" s="13"/>
    </row>
    <row r="33" spans="1:78" x14ac:dyDescent="0.3">
      <c r="A33" s="1"/>
      <c r="B33" s="1"/>
      <c r="C33" s="1"/>
      <c r="F33" s="1"/>
      <c r="G33" s="1"/>
      <c r="H33" s="1"/>
      <c r="K33" s="1"/>
      <c r="L33" s="1"/>
      <c r="M33" s="1"/>
      <c r="P33" s="1"/>
      <c r="Q33" s="1"/>
      <c r="R33" s="1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24">
        <f t="shared" si="7"/>
        <v>3709.6774193548422</v>
      </c>
      <c r="BE33" s="23">
        <f t="shared" si="0"/>
        <v>5.6149387096774266</v>
      </c>
      <c r="BF33" s="23">
        <f t="shared" si="1"/>
        <v>3.4838400000000052</v>
      </c>
      <c r="BG33" s="34">
        <f t="shared" si="2"/>
        <v>19.561548074322634</v>
      </c>
      <c r="BH33" s="13">
        <f t="shared" si="8"/>
        <v>133.90695225806473</v>
      </c>
      <c r="BI33" s="13">
        <f t="shared" si="9"/>
        <v>1.3136272016516153</v>
      </c>
      <c r="BJ33" s="13">
        <f t="shared" si="3"/>
        <v>0.16814428181140675</v>
      </c>
      <c r="BK33" s="13">
        <f t="shared" si="10"/>
        <v>65.320256677368107</v>
      </c>
      <c r="BL33" s="13">
        <f t="shared" si="11"/>
        <v>19.561548074322634</v>
      </c>
      <c r="BM33" s="13">
        <f t="shared" si="12"/>
        <v>3.3392171432030171</v>
      </c>
      <c r="BN33" s="41"/>
      <c r="BO33" s="24">
        <f t="shared" si="13"/>
        <v>3709.6774193548422</v>
      </c>
      <c r="BP33" s="23">
        <f t="shared" si="14"/>
        <v>5.5340967741935554</v>
      </c>
      <c r="BQ33" s="23">
        <f t="shared" si="15"/>
        <v>3.4289045161290375</v>
      </c>
      <c r="BR33" s="19">
        <f t="shared" si="16"/>
        <v>386.60233225806519</v>
      </c>
      <c r="BS33" s="19">
        <f t="shared" si="4"/>
        <v>3.7925688794516197</v>
      </c>
      <c r="BT33" s="19">
        <f t="shared" si="17"/>
        <v>1.2641896264838732</v>
      </c>
      <c r="BU33" s="19">
        <f t="shared" si="5"/>
        <v>491.10912367161296</v>
      </c>
      <c r="BV33" s="19">
        <f t="shared" si="6"/>
        <v>18.97588942172742</v>
      </c>
      <c r="BW33" s="19">
        <f t="shared" si="18"/>
        <v>25.880690636260365</v>
      </c>
      <c r="BX33" s="13"/>
      <c r="BY33" s="13"/>
      <c r="BZ33" s="13"/>
    </row>
    <row r="34" spans="1:78" x14ac:dyDescent="0.3">
      <c r="A34" s="1"/>
      <c r="B34" s="1"/>
      <c r="C34" s="1"/>
      <c r="F34" s="1"/>
      <c r="G34" s="1"/>
      <c r="H34" s="1"/>
      <c r="K34" s="1"/>
      <c r="L34" s="1"/>
      <c r="M34" s="1"/>
      <c r="P34" s="1"/>
      <c r="Q34" s="1"/>
      <c r="R34" s="1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24">
        <f t="shared" si="7"/>
        <v>3806.4516129032295</v>
      </c>
      <c r="BE34" s="23">
        <f t="shared" si="0"/>
        <v>5.8133258064516209</v>
      </c>
      <c r="BF34" s="23">
        <f t="shared" si="1"/>
        <v>3.6338400000000055</v>
      </c>
      <c r="BG34" s="34">
        <f t="shared" si="2"/>
        <v>21.12469584851619</v>
      </c>
      <c r="BH34" s="13">
        <f t="shared" si="8"/>
        <v>140.52727483870996</v>
      </c>
      <c r="BI34" s="13">
        <f t="shared" si="9"/>
        <v>1.3785725661677448</v>
      </c>
      <c r="BJ34" s="13">
        <f t="shared" si="3"/>
        <v>0.17645728846947134</v>
      </c>
      <c r="BK34" s="13">
        <f t="shared" si="10"/>
        <v>70.337924365345827</v>
      </c>
      <c r="BL34" s="13">
        <f t="shared" si="11"/>
        <v>21.12469584851619</v>
      </c>
      <c r="BM34" s="13">
        <f t="shared" si="12"/>
        <v>3.3296538264850994</v>
      </c>
      <c r="BN34" s="41"/>
      <c r="BO34" s="24">
        <f t="shared" si="13"/>
        <v>3806.4516129032295</v>
      </c>
      <c r="BP34" s="23">
        <f t="shared" si="14"/>
        <v>5.7150645161290381</v>
      </c>
      <c r="BQ34" s="23">
        <f t="shared" si="15"/>
        <v>3.5595496774193602</v>
      </c>
      <c r="BR34" s="19">
        <f t="shared" si="16"/>
        <v>405.46265483871036</v>
      </c>
      <c r="BS34" s="19">
        <f t="shared" si="4"/>
        <v>3.9775886439677488</v>
      </c>
      <c r="BT34" s="19">
        <f t="shared" si="17"/>
        <v>1.3258628813225828</v>
      </c>
      <c r="BU34" s="19">
        <f t="shared" si="5"/>
        <v>528.50434161251337</v>
      </c>
      <c r="BV34" s="19">
        <f t="shared" si="6"/>
        <v>20.34305605481795</v>
      </c>
      <c r="BW34" s="19">
        <f t="shared" si="18"/>
        <v>25.97959422558564</v>
      </c>
      <c r="BX34" s="13"/>
      <c r="BY34" s="13"/>
      <c r="BZ34" s="13"/>
    </row>
    <row r="35" spans="1:78" x14ac:dyDescent="0.3">
      <c r="A35" s="1"/>
      <c r="B35" s="1"/>
      <c r="C35" s="1"/>
      <c r="F35" s="1"/>
      <c r="G35" s="1"/>
      <c r="H35" s="1"/>
      <c r="K35" s="1"/>
      <c r="L35" s="1"/>
      <c r="M35" s="1"/>
      <c r="P35" s="1"/>
      <c r="Q35" s="1"/>
      <c r="R35" s="1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24">
        <f t="shared" si="7"/>
        <v>3903.2258064516168</v>
      </c>
      <c r="BE35" s="23">
        <f t="shared" si="0"/>
        <v>6.0117129032258152</v>
      </c>
      <c r="BF35" s="23">
        <f t="shared" si="1"/>
        <v>3.7838400000000059</v>
      </c>
      <c r="BG35" s="34">
        <f t="shared" si="2"/>
        <v>22.747359751742003</v>
      </c>
      <c r="BH35" s="13">
        <f t="shared" si="8"/>
        <v>147.14759741935512</v>
      </c>
      <c r="BI35" s="13">
        <f t="shared" si="9"/>
        <v>1.4435179306838739</v>
      </c>
      <c r="BJ35" s="13">
        <f t="shared" si="3"/>
        <v>0.18477029512753587</v>
      </c>
      <c r="BK35" s="13">
        <f t="shared" si="10"/>
        <v>75.524083290207244</v>
      </c>
      <c r="BL35" s="13">
        <f t="shared" si="11"/>
        <v>22.747359751742003</v>
      </c>
      <c r="BM35" s="13">
        <f t="shared" si="12"/>
        <v>3.32012524154253</v>
      </c>
      <c r="BN35" s="41"/>
      <c r="BO35" s="24">
        <f t="shared" si="13"/>
        <v>3903.2258064516168</v>
      </c>
      <c r="BP35" s="23">
        <f t="shared" si="14"/>
        <v>5.8960322580645226</v>
      </c>
      <c r="BQ35" s="23">
        <f t="shared" si="15"/>
        <v>3.690194838709683</v>
      </c>
      <c r="BR35" s="19">
        <f t="shared" si="16"/>
        <v>424.32297741935565</v>
      </c>
      <c r="BS35" s="19">
        <f t="shared" si="4"/>
        <v>4.1626084084838793</v>
      </c>
      <c r="BT35" s="19">
        <f t="shared" si="17"/>
        <v>1.387536136161293</v>
      </c>
      <c r="BU35" s="19">
        <f t="shared" si="5"/>
        <v>567.14957695600322</v>
      </c>
      <c r="BV35" s="19">
        <f t="shared" si="6"/>
        <v>21.7575078075755</v>
      </c>
      <c r="BW35" s="19">
        <f t="shared" si="18"/>
        <v>26.06684469434196</v>
      </c>
      <c r="BX35" s="13"/>
      <c r="BY35" s="13"/>
      <c r="BZ35" s="13"/>
    </row>
    <row r="36" spans="1:78" x14ac:dyDescent="0.3">
      <c r="A36" s="1"/>
      <c r="B36" s="1"/>
      <c r="C36" s="1"/>
      <c r="F36" s="1"/>
      <c r="G36" s="1"/>
      <c r="H36" s="1"/>
      <c r="K36" s="1"/>
      <c r="L36" s="1"/>
      <c r="M36" s="1"/>
      <c r="P36" s="1"/>
      <c r="Q36" s="1"/>
      <c r="R36" s="1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9">
        <v>4000</v>
      </c>
      <c r="BE36" s="23">
        <f t="shared" si="0"/>
        <v>6.2101000000000006</v>
      </c>
      <c r="BF36" s="23">
        <f t="shared" si="1"/>
        <v>3.93384</v>
      </c>
      <c r="BG36" s="34">
        <f t="shared" si="2"/>
        <v>24.429539784000003</v>
      </c>
      <c r="BH36" s="13">
        <f t="shared" si="8"/>
        <v>153.76792</v>
      </c>
      <c r="BI36" s="13">
        <f t="shared" si="9"/>
        <v>1.5084632952000001</v>
      </c>
      <c r="BJ36" s="13">
        <f>BI36*128/1000</f>
        <v>0.19308330178560001</v>
      </c>
      <c r="BK36" s="13">
        <f t="shared" si="10"/>
        <v>80.878733451952129</v>
      </c>
      <c r="BL36" s="13">
        <f t="shared" si="11"/>
        <v>24.429539784000003</v>
      </c>
      <c r="BM36" s="13">
        <f t="shared" si="12"/>
        <v>3.3106941091425401</v>
      </c>
      <c r="BN36" s="41"/>
      <c r="BO36" s="19">
        <v>4000</v>
      </c>
      <c r="BP36" s="23">
        <f t="shared" si="14"/>
        <v>6.077</v>
      </c>
      <c r="BQ36" s="23">
        <f t="shared" si="15"/>
        <v>3.8208400000000005</v>
      </c>
      <c r="BR36" s="19">
        <f t="shared" si="16"/>
        <v>443.18330000000003</v>
      </c>
      <c r="BS36" s="19">
        <f t="shared" si="4"/>
        <v>4.3476281730000013</v>
      </c>
      <c r="BT36" s="19">
        <f t="shared" si="17"/>
        <v>1.4492093910000003</v>
      </c>
      <c r="BU36" s="19">
        <f t="shared" si="5"/>
        <v>607.04482970208005</v>
      </c>
      <c r="BV36" s="19">
        <f t="shared" si="6"/>
        <v>23.219244680000003</v>
      </c>
      <c r="BW36" s="19">
        <f t="shared" si="18"/>
        <v>26.144038622624134</v>
      </c>
      <c r="BX36" s="13"/>
      <c r="BY36" s="13"/>
      <c r="BZ36" s="13"/>
    </row>
    <row r="37" spans="1:78" x14ac:dyDescent="0.3">
      <c r="A37" s="1"/>
      <c r="B37" s="1"/>
      <c r="C37" s="1"/>
      <c r="F37" s="1"/>
      <c r="G37" s="1"/>
      <c r="H37" s="1"/>
      <c r="K37" s="1"/>
      <c r="L37" s="1"/>
      <c r="M37" s="1"/>
      <c r="P37" s="1"/>
      <c r="Q37" s="1"/>
      <c r="R37" s="1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</row>
    <row r="38" spans="1:78" x14ac:dyDescent="0.3">
      <c r="A38" s="1"/>
      <c r="B38" s="1"/>
      <c r="C38" s="1"/>
      <c r="F38" s="1"/>
      <c r="G38" s="1"/>
      <c r="H38" s="1"/>
      <c r="K38" s="1"/>
      <c r="L38" s="1"/>
      <c r="M38" s="1"/>
      <c r="P38" s="1"/>
      <c r="Q38" s="1"/>
      <c r="R38" s="1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</row>
    <row r="39" spans="1:78" x14ac:dyDescent="0.3">
      <c r="A39" s="1"/>
      <c r="B39" s="1"/>
      <c r="C39" s="1"/>
      <c r="F39" s="1"/>
      <c r="G39" s="1"/>
      <c r="H39" s="1"/>
      <c r="K39" s="1"/>
      <c r="L39" s="1"/>
      <c r="M39" s="1"/>
      <c r="P39" s="1"/>
      <c r="Q39" s="1"/>
      <c r="R39" s="1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</row>
    <row r="40" spans="1:78" ht="21" x14ac:dyDescent="0.4">
      <c r="A40" s="1"/>
      <c r="B40" s="1"/>
      <c r="C40" s="1"/>
      <c r="F40" s="1"/>
      <c r="G40" s="1"/>
      <c r="H40" s="1"/>
      <c r="K40" s="1"/>
      <c r="L40" s="1"/>
      <c r="M40" s="1"/>
      <c r="P40" s="1"/>
      <c r="Q40" s="1"/>
      <c r="R40" s="1"/>
      <c r="U40" s="16" t="s">
        <v>38</v>
      </c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</row>
    <row r="41" spans="1:78" ht="18" x14ac:dyDescent="0.35">
      <c r="A41" s="1"/>
      <c r="B41" s="1"/>
      <c r="C41" s="1"/>
      <c r="F41" s="1"/>
      <c r="G41" s="1"/>
      <c r="H41" s="1"/>
      <c r="K41" s="1"/>
      <c r="L41" s="1"/>
      <c r="M41" s="1"/>
      <c r="P41" s="1"/>
      <c r="Q41" s="1"/>
      <c r="R41" s="1"/>
      <c r="U41" s="18" t="s">
        <v>26</v>
      </c>
      <c r="V41" s="18"/>
      <c r="W41" s="18"/>
      <c r="X41" s="18"/>
      <c r="Y41" s="18"/>
      <c r="Z41" s="17"/>
      <c r="AA41" s="17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21" t="s">
        <v>29</v>
      </c>
      <c r="AV41" s="21"/>
      <c r="AW41" s="21"/>
      <c r="AX41" s="20"/>
      <c r="AY41" s="20"/>
      <c r="AZ41" s="20"/>
      <c r="BA41" s="20"/>
      <c r="BB41" s="20"/>
      <c r="BC41" s="20"/>
      <c r="BD41" s="20"/>
      <c r="BE41" s="15"/>
      <c r="BF41" s="15"/>
    </row>
    <row r="42" spans="1:78" ht="43.95" customHeight="1" x14ac:dyDescent="0.3">
      <c r="A42" s="1"/>
      <c r="B42" s="1"/>
      <c r="C42" s="1"/>
      <c r="F42" s="1"/>
      <c r="G42" s="1"/>
      <c r="H42" s="1"/>
      <c r="K42" s="1"/>
      <c r="L42" s="1"/>
      <c r="M42" s="1"/>
      <c r="P42" s="1"/>
      <c r="Q42" s="1"/>
      <c r="R42" s="1"/>
      <c r="U42" s="19" t="s">
        <v>0</v>
      </c>
      <c r="V42" s="19" t="s">
        <v>1</v>
      </c>
      <c r="W42" s="19" t="s">
        <v>2</v>
      </c>
      <c r="X42" s="15"/>
      <c r="Y42" s="19" t="s">
        <v>3</v>
      </c>
      <c r="Z42" s="19" t="s">
        <v>1</v>
      </c>
      <c r="AA42" s="19" t="s">
        <v>2</v>
      </c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31"/>
      <c r="AV42" s="31" t="s">
        <v>44</v>
      </c>
      <c r="AW42" s="31" t="s">
        <v>45</v>
      </c>
      <c r="AX42" s="31" t="s">
        <v>46</v>
      </c>
      <c r="AY42" s="31" t="s">
        <v>47</v>
      </c>
      <c r="AZ42" s="31" t="s">
        <v>48</v>
      </c>
      <c r="BA42" s="31" t="s">
        <v>49</v>
      </c>
      <c r="BB42" s="31" t="s">
        <v>61</v>
      </c>
      <c r="BC42" s="31" t="s">
        <v>50</v>
      </c>
      <c r="BD42" s="31" t="s">
        <v>51</v>
      </c>
      <c r="BE42" s="15"/>
      <c r="BF42" s="45" t="s">
        <v>62</v>
      </c>
      <c r="BG42" s="45"/>
      <c r="BH42" s="45"/>
    </row>
    <row r="43" spans="1:78" ht="38.4" customHeight="1" x14ac:dyDescent="0.3">
      <c r="U43" s="19">
        <v>4.88</v>
      </c>
      <c r="V43" s="23">
        <v>41.5</v>
      </c>
      <c r="W43" s="19">
        <v>3400</v>
      </c>
      <c r="X43" s="15"/>
      <c r="Y43" s="19">
        <v>3</v>
      </c>
      <c r="Z43" s="19">
        <v>38</v>
      </c>
      <c r="AA43" s="19">
        <v>3409</v>
      </c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27" t="s">
        <v>55</v>
      </c>
      <c r="AV43" s="27" t="s">
        <v>56</v>
      </c>
      <c r="AW43" s="27" t="s">
        <v>57</v>
      </c>
      <c r="AX43" s="27" t="s">
        <v>30</v>
      </c>
      <c r="AY43" s="27" t="s">
        <v>31</v>
      </c>
      <c r="AZ43" s="27" t="s">
        <v>32</v>
      </c>
      <c r="BA43" s="27" t="s">
        <v>33</v>
      </c>
      <c r="BB43" s="27" t="s">
        <v>35</v>
      </c>
      <c r="BC43" s="27" t="s">
        <v>36</v>
      </c>
      <c r="BD43" s="27" t="s">
        <v>37</v>
      </c>
      <c r="BE43" s="15"/>
      <c r="BF43" s="45"/>
      <c r="BG43" s="45"/>
      <c r="BH43" s="45"/>
    </row>
    <row r="44" spans="1:78" x14ac:dyDescent="0.3">
      <c r="U44" s="19">
        <v>4.82</v>
      </c>
      <c r="V44" s="23">
        <v>39.4</v>
      </c>
      <c r="W44" s="19">
        <v>3350</v>
      </c>
      <c r="X44" s="15"/>
      <c r="Y44" s="19">
        <v>2.95</v>
      </c>
      <c r="Z44" s="19">
        <v>35</v>
      </c>
      <c r="AA44" s="19">
        <v>3325</v>
      </c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9">
        <v>1000</v>
      </c>
      <c r="AV44" s="23">
        <f>0.0018304*AU44-1.3330731</f>
        <v>0.49732690000000002</v>
      </c>
      <c r="AW44" s="23">
        <f>0.001352*AU44-1.595325</f>
        <v>-0.24332500000000024</v>
      </c>
      <c r="AX44" s="22">
        <f>0.04358*AU44-110.88851</f>
        <v>-67.308509999999998</v>
      </c>
      <c r="AY44" s="22">
        <f>9.81*AX44/1000</f>
        <v>-0.6602964831</v>
      </c>
      <c r="AZ44" s="22">
        <f>(AY44/4*256)/(3/4*256)</f>
        <v>-0.2200988277</v>
      </c>
      <c r="BA44" s="22">
        <f t="shared" ref="BA44:BA81" si="25">AZ44*3/4*256/1000</f>
        <v>-4.22589749184E-2</v>
      </c>
      <c r="BB44" s="35">
        <f>BA44*AU44*0.10472</f>
        <v>-4.4253598534548475</v>
      </c>
      <c r="BC44" s="19">
        <f>AV44*AW44</f>
        <v>-0.12101206794250012</v>
      </c>
      <c r="BD44" s="19">
        <f>BB44/BC44</f>
        <v>36.569574660583385</v>
      </c>
      <c r="BE44" s="15"/>
      <c r="BF44" s="45"/>
      <c r="BG44" s="45"/>
      <c r="BH44" s="45"/>
    </row>
    <row r="45" spans="1:78" x14ac:dyDescent="0.3">
      <c r="U45" s="19">
        <v>4.8</v>
      </c>
      <c r="V45" s="23">
        <v>37.5</v>
      </c>
      <c r="W45" s="19">
        <v>3355</v>
      </c>
      <c r="X45" s="15"/>
      <c r="Y45" s="19">
        <v>2.9</v>
      </c>
      <c r="Z45" s="19">
        <v>34</v>
      </c>
      <c r="AA45" s="19">
        <v>3280</v>
      </c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24">
        <f>AU44+($AU$82-$AU$44)/(ROW($AU$82)-ROW($AU$44))</f>
        <v>1078.9473684210527</v>
      </c>
      <c r="AV45" s="23">
        <f t="shared" ref="AV45:AV82" si="26">0.0018304*AU45-1.3330731</f>
        <v>0.64183216315789493</v>
      </c>
      <c r="AW45" s="23">
        <f t="shared" ref="AW45:AW82" si="27">0.001352*AU45-1.595325</f>
        <v>-0.13658815789473699</v>
      </c>
      <c r="AX45" s="22">
        <f t="shared" ref="AX45:AX82" si="28">0.04358*AU45-110.88851</f>
        <v>-63.867983684210522</v>
      </c>
      <c r="AY45" s="22">
        <f t="shared" ref="AY45:AY82" si="29">9.81*AX45/1000</f>
        <v>-0.62654491994210526</v>
      </c>
      <c r="AZ45" s="22">
        <f t="shared" ref="AZ45:AZ81" si="30">(AY45/4*256)/(3/4*256)</f>
        <v>-0.20884830664736842</v>
      </c>
      <c r="BA45" s="22">
        <f t="shared" si="25"/>
        <v>-4.0098874876294738E-2</v>
      </c>
      <c r="BB45" s="35">
        <f t="shared" ref="BB45:BB82" si="31">BA45*AU45*0.10472</f>
        <v>-4.5306663489176051</v>
      </c>
      <c r="BC45" s="19">
        <f t="shared" ref="BC45:BC82" si="32">AV45*AW45</f>
        <v>-8.7666672843331156E-2</v>
      </c>
      <c r="BD45" s="19">
        <f t="shared" ref="BD45:BD82" si="33">BB45/BC45</f>
        <v>51.680601099283706</v>
      </c>
      <c r="BE45" s="15"/>
      <c r="BF45" s="45"/>
      <c r="BG45" s="45"/>
      <c r="BH45" s="45"/>
    </row>
    <row r="46" spans="1:78" x14ac:dyDescent="0.3">
      <c r="A46" t="s">
        <v>20</v>
      </c>
      <c r="B46" t="s">
        <v>14</v>
      </c>
      <c r="C46" t="s">
        <v>22</v>
      </c>
      <c r="K46" t="s">
        <v>21</v>
      </c>
      <c r="L46" t="s">
        <v>15</v>
      </c>
      <c r="M46" t="s">
        <v>22</v>
      </c>
      <c r="U46" s="19">
        <v>4.5999999999999996</v>
      </c>
      <c r="V46" s="23">
        <v>25</v>
      </c>
      <c r="W46" s="19">
        <v>3250</v>
      </c>
      <c r="X46" s="15"/>
      <c r="Y46" s="19">
        <v>2.75</v>
      </c>
      <c r="Z46" s="19">
        <v>28.5</v>
      </c>
      <c r="AA46" s="19">
        <v>3250</v>
      </c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24">
        <f t="shared" ref="AU46:AU81" si="34">AU45+($AU$82-$AU$44)/(ROW($AU$82)-ROW($AU$44))</f>
        <v>1157.8947368421054</v>
      </c>
      <c r="AV46" s="23">
        <f t="shared" si="26"/>
        <v>0.78633742631578984</v>
      </c>
      <c r="AW46" s="23">
        <f t="shared" si="27"/>
        <v>-2.9851315789473754E-2</v>
      </c>
      <c r="AX46" s="22">
        <f t="shared" si="28"/>
        <v>-60.427457368421038</v>
      </c>
      <c r="AY46" s="22">
        <f t="shared" si="29"/>
        <v>-0.59279335678421041</v>
      </c>
      <c r="AZ46" s="22">
        <f t="shared" si="30"/>
        <v>-0.19759778559473681</v>
      </c>
      <c r="BA46" s="22">
        <f t="shared" si="25"/>
        <v>-3.7938774834189469E-2</v>
      </c>
      <c r="BB46" s="35">
        <f t="shared" si="31"/>
        <v>-4.6002561586315309</v>
      </c>
      <c r="BC46" s="19">
        <f t="shared" si="32"/>
        <v>-2.347320683003469E-2</v>
      </c>
      <c r="BD46" s="19">
        <f t="shared" si="33"/>
        <v>195.97902374145835</v>
      </c>
      <c r="BE46" s="15"/>
      <c r="BF46" s="15"/>
    </row>
    <row r="47" spans="1:78" x14ac:dyDescent="0.3">
      <c r="A47" s="1" t="s">
        <v>0</v>
      </c>
      <c r="B47" s="1" t="s">
        <v>1</v>
      </c>
      <c r="C47" s="1" t="s">
        <v>2</v>
      </c>
      <c r="F47" s="1" t="s">
        <v>3</v>
      </c>
      <c r="G47" s="1" t="s">
        <v>1</v>
      </c>
      <c r="H47" s="1" t="s">
        <v>2</v>
      </c>
      <c r="K47" s="1" t="s">
        <v>0</v>
      </c>
      <c r="L47" s="1" t="s">
        <v>1</v>
      </c>
      <c r="M47" s="1" t="s">
        <v>2</v>
      </c>
      <c r="P47" s="1" t="s">
        <v>3</v>
      </c>
      <c r="Q47" s="1" t="s">
        <v>1</v>
      </c>
      <c r="R47" s="1" t="s">
        <v>2</v>
      </c>
      <c r="U47" s="19">
        <v>4.5</v>
      </c>
      <c r="V47" s="23">
        <v>22.5</v>
      </c>
      <c r="W47" s="19">
        <v>3209</v>
      </c>
      <c r="X47" s="15"/>
      <c r="Y47" s="19">
        <v>2.7</v>
      </c>
      <c r="Z47" s="19">
        <v>26.9</v>
      </c>
      <c r="AA47" s="19">
        <v>3220</v>
      </c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24">
        <f t="shared" si="34"/>
        <v>1236.8421052631581</v>
      </c>
      <c r="AV47" s="23">
        <f t="shared" si="26"/>
        <v>0.93084268947368454</v>
      </c>
      <c r="AW47" s="23">
        <f t="shared" si="27"/>
        <v>7.6885526315789487E-2</v>
      </c>
      <c r="AX47" s="22">
        <f t="shared" si="28"/>
        <v>-56.986931052631562</v>
      </c>
      <c r="AY47" s="22">
        <f t="shared" si="29"/>
        <v>-0.55904179362631568</v>
      </c>
      <c r="AZ47" s="22">
        <f t="shared" si="30"/>
        <v>-0.18634726454210523</v>
      </c>
      <c r="BA47" s="22">
        <f t="shared" si="25"/>
        <v>-3.57786747920842E-2</v>
      </c>
      <c r="BB47" s="35">
        <f t="shared" si="31"/>
        <v>-4.634129282596624</v>
      </c>
      <c r="BC47" s="19">
        <f t="shared" si="32"/>
        <v>7.1568330097389235E-2</v>
      </c>
      <c r="BD47" s="19">
        <f t="shared" si="33"/>
        <v>-64.751116538426459</v>
      </c>
      <c r="BE47" s="15"/>
      <c r="BF47" s="15"/>
    </row>
    <row r="48" spans="1:78" x14ac:dyDescent="0.3">
      <c r="A48" s="1">
        <v>4.88</v>
      </c>
      <c r="B48" s="1">
        <v>320</v>
      </c>
      <c r="C48" s="1">
        <v>3377</v>
      </c>
      <c r="F48" s="1">
        <v>2.91</v>
      </c>
      <c r="G48" s="1">
        <v>320</v>
      </c>
      <c r="H48" s="1">
        <v>3405</v>
      </c>
      <c r="K48" s="1">
        <v>4.0999999999999996</v>
      </c>
      <c r="L48" s="1">
        <v>260</v>
      </c>
      <c r="M48" s="1">
        <v>2940</v>
      </c>
      <c r="P48" s="1">
        <v>2.35</v>
      </c>
      <c r="Q48" s="1">
        <v>235</v>
      </c>
      <c r="R48" s="1">
        <v>2941</v>
      </c>
      <c r="U48" s="19">
        <v>4.54</v>
      </c>
      <c r="V48" s="23">
        <v>21.5</v>
      </c>
      <c r="W48" s="19">
        <v>3170</v>
      </c>
      <c r="X48" s="15"/>
      <c r="Y48" s="19">
        <v>2.69</v>
      </c>
      <c r="Z48" s="19">
        <v>28</v>
      </c>
      <c r="AA48" s="19">
        <v>3160</v>
      </c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24">
        <f t="shared" si="34"/>
        <v>1315.7894736842109</v>
      </c>
      <c r="AV48" s="23">
        <f t="shared" si="26"/>
        <v>1.0753479526315797</v>
      </c>
      <c r="AW48" s="23">
        <f t="shared" si="27"/>
        <v>0.18362236842105295</v>
      </c>
      <c r="AX48" s="22">
        <f t="shared" si="28"/>
        <v>-53.546404736842085</v>
      </c>
      <c r="AY48" s="22">
        <f t="shared" si="29"/>
        <v>-0.52529023046842083</v>
      </c>
      <c r="AZ48" s="22">
        <f t="shared" si="30"/>
        <v>-0.1750967434894736</v>
      </c>
      <c r="BA48" s="22">
        <f t="shared" si="25"/>
        <v>-3.3618574749978931E-2</v>
      </c>
      <c r="BB48" s="35">
        <f t="shared" si="31"/>
        <v>-4.6322857208128871</v>
      </c>
      <c r="BC48" s="19">
        <f t="shared" si="32"/>
        <v>0.19745793793894093</v>
      </c>
      <c r="BD48" s="19">
        <f t="shared" si="33"/>
        <v>-23.459607494965883</v>
      </c>
      <c r="BE48" s="15"/>
      <c r="BF48" s="15"/>
    </row>
    <row r="49" spans="1:58" x14ac:dyDescent="0.3">
      <c r="A49" s="1">
        <v>4.84</v>
      </c>
      <c r="B49" s="1">
        <v>315</v>
      </c>
      <c r="C49" s="1">
        <v>3282</v>
      </c>
      <c r="F49" s="1">
        <v>2.88</v>
      </c>
      <c r="G49" s="1">
        <v>304</v>
      </c>
      <c r="H49" s="1">
        <v>3317</v>
      </c>
      <c r="K49" s="1">
        <v>4.08</v>
      </c>
      <c r="L49" s="1">
        <v>245</v>
      </c>
      <c r="M49" s="1">
        <v>2949</v>
      </c>
      <c r="P49" s="1">
        <v>2.2999999999999998</v>
      </c>
      <c r="Q49" s="1">
        <v>225</v>
      </c>
      <c r="R49" s="1">
        <v>2870</v>
      </c>
      <c r="U49" s="19">
        <v>3.95</v>
      </c>
      <c r="V49" s="23">
        <v>25.5</v>
      </c>
      <c r="W49" s="19">
        <v>2909</v>
      </c>
      <c r="X49" s="15"/>
      <c r="Y49" s="19">
        <v>2.2000000000000002</v>
      </c>
      <c r="Z49" s="19">
        <v>12.5</v>
      </c>
      <c r="AA49" s="19">
        <v>2830</v>
      </c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24">
        <f t="shared" si="34"/>
        <v>1394.7368421052636</v>
      </c>
      <c r="AV49" s="23">
        <f t="shared" si="26"/>
        <v>1.2198532157894744</v>
      </c>
      <c r="AW49" s="23">
        <f t="shared" si="27"/>
        <v>0.29035921052631619</v>
      </c>
      <c r="AX49" s="22">
        <f t="shared" si="28"/>
        <v>-50.105878421052608</v>
      </c>
      <c r="AY49" s="22">
        <f t="shared" si="29"/>
        <v>-0.49153866731052615</v>
      </c>
      <c r="AZ49" s="22">
        <f t="shared" si="30"/>
        <v>-0.16384622243684205</v>
      </c>
      <c r="BA49" s="22">
        <f t="shared" si="25"/>
        <v>-3.1458474707873677E-2</v>
      </c>
      <c r="BB49" s="35">
        <f t="shared" si="31"/>
        <v>-4.5947254732803211</v>
      </c>
      <c r="BC49" s="19">
        <f t="shared" si="32"/>
        <v>0.3541956166946198</v>
      </c>
      <c r="BD49" s="19">
        <f t="shared" si="33"/>
        <v>-12.972282142163829</v>
      </c>
      <c r="BE49" s="15"/>
      <c r="BF49" s="15"/>
    </row>
    <row r="50" spans="1:58" x14ac:dyDescent="0.3">
      <c r="A50" s="1">
        <v>4.84</v>
      </c>
      <c r="B50" s="1">
        <v>310</v>
      </c>
      <c r="C50" s="1">
        <v>3295</v>
      </c>
      <c r="F50" s="1">
        <v>2.85</v>
      </c>
      <c r="G50" s="1">
        <v>296</v>
      </c>
      <c r="H50" s="1">
        <v>3286</v>
      </c>
      <c r="K50" s="1">
        <v>4.05</v>
      </c>
      <c r="L50" s="1">
        <v>250</v>
      </c>
      <c r="M50" s="1">
        <v>2914</v>
      </c>
      <c r="P50" s="1">
        <v>2.29</v>
      </c>
      <c r="Q50" s="1">
        <v>220</v>
      </c>
      <c r="R50" s="1">
        <v>2842</v>
      </c>
      <c r="U50" s="19">
        <v>3.88</v>
      </c>
      <c r="V50" s="23">
        <v>21.3</v>
      </c>
      <c r="W50" s="19">
        <v>2835</v>
      </c>
      <c r="X50" s="15"/>
      <c r="Y50" s="19">
        <v>2.17</v>
      </c>
      <c r="Z50" s="19">
        <v>10.199999999999999</v>
      </c>
      <c r="AA50" s="19">
        <v>2775</v>
      </c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24">
        <f t="shared" si="34"/>
        <v>1473.6842105263163</v>
      </c>
      <c r="AV50" s="23">
        <f t="shared" si="26"/>
        <v>1.3643584789473695</v>
      </c>
      <c r="AW50" s="23">
        <f t="shared" si="27"/>
        <v>0.39709605263157943</v>
      </c>
      <c r="AX50" s="22">
        <f t="shared" si="28"/>
        <v>-46.665352105263125</v>
      </c>
      <c r="AY50" s="22">
        <f t="shared" si="29"/>
        <v>-0.4577871041526313</v>
      </c>
      <c r="AZ50" s="22">
        <f t="shared" si="30"/>
        <v>-0.15259570138421044</v>
      </c>
      <c r="BA50" s="22">
        <f t="shared" si="25"/>
        <v>-2.9298374665768408E-2</v>
      </c>
      <c r="BB50" s="35">
        <f t="shared" si="31"/>
        <v>-4.5214485399989224</v>
      </c>
      <c r="BC50" s="19">
        <f t="shared" si="32"/>
        <v>0.54178136636442631</v>
      </c>
      <c r="BD50" s="19">
        <f t="shared" si="33"/>
        <v>-8.3455224204916529</v>
      </c>
      <c r="BE50" s="15"/>
      <c r="BF50" s="15"/>
    </row>
    <row r="51" spans="1:58" x14ac:dyDescent="0.3">
      <c r="A51" s="1"/>
      <c r="B51" s="1"/>
      <c r="C51" s="1"/>
      <c r="F51" s="1">
        <v>2.84</v>
      </c>
      <c r="G51" s="1">
        <v>300</v>
      </c>
      <c r="H51" s="1">
        <v>3236</v>
      </c>
      <c r="K51" s="1"/>
      <c r="L51" s="1"/>
      <c r="M51" s="1"/>
      <c r="P51" s="1"/>
      <c r="Q51" s="1"/>
      <c r="R51" s="1"/>
      <c r="U51" s="28">
        <v>3.06</v>
      </c>
      <c r="V51" s="29">
        <v>20</v>
      </c>
      <c r="W51" s="28">
        <v>2805</v>
      </c>
      <c r="X51" s="15"/>
      <c r="Y51" s="19">
        <v>2.16</v>
      </c>
      <c r="Z51" s="19">
        <v>9.5</v>
      </c>
      <c r="AA51" s="19">
        <v>2760</v>
      </c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24">
        <f t="shared" si="34"/>
        <v>1552.631578947369</v>
      </c>
      <c r="AV51" s="23">
        <f t="shared" si="26"/>
        <v>1.5088637421052642</v>
      </c>
      <c r="AW51" s="23">
        <f t="shared" si="27"/>
        <v>0.50383289473684267</v>
      </c>
      <c r="AX51" s="22">
        <f t="shared" si="28"/>
        <v>-43.224825789473655</v>
      </c>
      <c r="AY51" s="22">
        <f t="shared" si="29"/>
        <v>-0.42403554099473661</v>
      </c>
      <c r="AZ51" s="22">
        <f t="shared" si="30"/>
        <v>-0.14134518033157886</v>
      </c>
      <c r="BA51" s="22">
        <f t="shared" si="25"/>
        <v>-2.7138274623663142E-2</v>
      </c>
      <c r="BB51" s="35">
        <f t="shared" si="31"/>
        <v>-4.4124549209686919</v>
      </c>
      <c r="BC51" s="19">
        <f t="shared" si="32"/>
        <v>0.7602151869483601</v>
      </c>
      <c r="BD51" s="19">
        <f t="shared" si="33"/>
        <v>-5.8042183275515402</v>
      </c>
      <c r="BE51" s="15"/>
      <c r="BF51" s="15"/>
    </row>
    <row r="52" spans="1:58" x14ac:dyDescent="0.3">
      <c r="A52" s="1"/>
      <c r="B52" s="1"/>
      <c r="C52" s="1"/>
      <c r="F52" s="1"/>
      <c r="G52" s="1"/>
      <c r="H52" s="1"/>
      <c r="K52" s="1"/>
      <c r="L52" s="1"/>
      <c r="M52" s="1"/>
      <c r="P52" s="1"/>
      <c r="Q52" s="1"/>
      <c r="R52" s="1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24">
        <f t="shared" si="34"/>
        <v>1631.5789473684217</v>
      </c>
      <c r="AV52" s="23">
        <f t="shared" si="26"/>
        <v>1.6533690052631593</v>
      </c>
      <c r="AW52" s="23">
        <f t="shared" si="27"/>
        <v>0.61056973684210569</v>
      </c>
      <c r="AX52" s="22">
        <f t="shared" si="28"/>
        <v>-39.784299473684172</v>
      </c>
      <c r="AY52" s="22">
        <f t="shared" si="29"/>
        <v>-0.39028397783684177</v>
      </c>
      <c r="AZ52" s="22">
        <f t="shared" si="30"/>
        <v>-0.13009465927894726</v>
      </c>
      <c r="BA52" s="22">
        <f t="shared" si="25"/>
        <v>-2.4978174581557874E-2</v>
      </c>
      <c r="BB52" s="35">
        <f t="shared" si="31"/>
        <v>-4.2677446161896304</v>
      </c>
      <c r="BC52" s="19">
        <f t="shared" si="32"/>
        <v>1.0094970784464212</v>
      </c>
      <c r="BD52" s="19">
        <f t="shared" si="33"/>
        <v>-4.2275948165769153</v>
      </c>
      <c r="BE52" s="15"/>
      <c r="BF52" s="15"/>
    </row>
    <row r="53" spans="1:58" x14ac:dyDescent="0.3">
      <c r="A53" s="1"/>
      <c r="B53" s="1"/>
      <c r="C53" s="1"/>
      <c r="F53" s="1"/>
      <c r="G53" s="1"/>
      <c r="H53" s="1"/>
      <c r="K53" s="1"/>
      <c r="L53" s="1"/>
      <c r="M53" s="1"/>
      <c r="P53" s="1"/>
      <c r="Q53" s="1"/>
      <c r="R53" s="1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24">
        <f t="shared" si="34"/>
        <v>1710.5263157894744</v>
      </c>
      <c r="AV53" s="23">
        <f t="shared" si="26"/>
        <v>1.797874268421054</v>
      </c>
      <c r="AW53" s="23">
        <f t="shared" si="27"/>
        <v>0.71730657894736916</v>
      </c>
      <c r="AX53" s="22">
        <f t="shared" si="28"/>
        <v>-36.343773157894702</v>
      </c>
      <c r="AY53" s="22">
        <f t="shared" si="29"/>
        <v>-0.35653241467894703</v>
      </c>
      <c r="AZ53" s="22">
        <f t="shared" si="30"/>
        <v>-0.11884413822631568</v>
      </c>
      <c r="BA53" s="22">
        <f t="shared" si="25"/>
        <v>-2.2818074539452608E-2</v>
      </c>
      <c r="BB53" s="35">
        <f t="shared" si="31"/>
        <v>-4.0873176256617381</v>
      </c>
      <c r="BC53" s="19">
        <f t="shared" si="32"/>
        <v>1.2896270408586104</v>
      </c>
      <c r="BD53" s="19">
        <f t="shared" si="33"/>
        <v>-3.1693795928321076</v>
      </c>
      <c r="BE53" s="15"/>
      <c r="BF53" s="15"/>
    </row>
    <row r="54" spans="1:58" x14ac:dyDescent="0.3">
      <c r="A54" s="1"/>
      <c r="B54" s="1"/>
      <c r="C54" s="1"/>
      <c r="F54" s="1"/>
      <c r="G54" s="1"/>
      <c r="H54" s="1"/>
      <c r="K54" s="1"/>
      <c r="L54" s="1"/>
      <c r="M54" s="1"/>
      <c r="P54" s="1"/>
      <c r="Q54" s="1"/>
      <c r="R54" s="1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24">
        <f t="shared" si="34"/>
        <v>1789.4736842105272</v>
      </c>
      <c r="AV54" s="23">
        <f t="shared" si="26"/>
        <v>1.9423795315789492</v>
      </c>
      <c r="AW54" s="23">
        <f t="shared" si="27"/>
        <v>0.82404342105263262</v>
      </c>
      <c r="AX54" s="22">
        <f t="shared" si="28"/>
        <v>-32.903246842105219</v>
      </c>
      <c r="AY54" s="22">
        <f t="shared" si="29"/>
        <v>-0.32278085152105224</v>
      </c>
      <c r="AZ54" s="22">
        <f t="shared" si="30"/>
        <v>-0.10759361717368408</v>
      </c>
      <c r="BA54" s="22">
        <f t="shared" si="25"/>
        <v>-2.0657974497347343E-2</v>
      </c>
      <c r="BB54" s="35">
        <f t="shared" si="31"/>
        <v>-3.8711739493850152</v>
      </c>
      <c r="BC54" s="19">
        <f t="shared" si="32"/>
        <v>1.6006050741849274</v>
      </c>
      <c r="BD54" s="19">
        <f t="shared" si="33"/>
        <v>-2.41856908479209</v>
      </c>
      <c r="BE54" s="15"/>
      <c r="BF54" s="15"/>
    </row>
    <row r="55" spans="1:58" x14ac:dyDescent="0.3">
      <c r="A55" s="1"/>
      <c r="B55" s="1"/>
      <c r="C55" s="1"/>
      <c r="F55" s="1"/>
      <c r="G55" s="1"/>
      <c r="H55" s="1"/>
      <c r="K55" s="1"/>
      <c r="L55" s="1"/>
      <c r="M55" s="1"/>
      <c r="P55" s="1"/>
      <c r="Q55" s="1"/>
      <c r="R55" s="1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24">
        <f t="shared" si="34"/>
        <v>1868.4210526315799</v>
      </c>
      <c r="AV55" s="23">
        <f t="shared" si="26"/>
        <v>2.0868847947368439</v>
      </c>
      <c r="AW55" s="23">
        <f t="shared" si="27"/>
        <v>0.93078026315789564</v>
      </c>
      <c r="AX55" s="22">
        <f t="shared" si="28"/>
        <v>-29.462720526315749</v>
      </c>
      <c r="AY55" s="22">
        <f t="shared" si="29"/>
        <v>-0.2890292883631575</v>
      </c>
      <c r="AZ55" s="22">
        <f t="shared" si="30"/>
        <v>-9.6343096121052504E-2</v>
      </c>
      <c r="BA55" s="22">
        <f t="shared" si="25"/>
        <v>-1.8497874455242081E-2</v>
      </c>
      <c r="BB55" s="35">
        <f t="shared" si="31"/>
        <v>-3.6193135873594624</v>
      </c>
      <c r="BC55" s="19">
        <f t="shared" si="32"/>
        <v>1.9424311784253705</v>
      </c>
      <c r="BD55" s="19">
        <f t="shared" si="33"/>
        <v>-1.8632905132286099</v>
      </c>
      <c r="BE55" s="15"/>
      <c r="BF55" s="15"/>
    </row>
    <row r="56" spans="1:58" x14ac:dyDescent="0.3">
      <c r="A56" s="1"/>
      <c r="B56" s="1"/>
      <c r="C56" s="1"/>
      <c r="F56" s="1"/>
      <c r="G56" s="1"/>
      <c r="H56" s="1"/>
      <c r="K56" s="1"/>
      <c r="L56" s="1"/>
      <c r="M56" s="1"/>
      <c r="P56" s="1"/>
      <c r="Q56" s="1"/>
      <c r="R56" s="1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24">
        <f t="shared" si="34"/>
        <v>1947.3684210526326</v>
      </c>
      <c r="AV56" s="23">
        <f t="shared" si="26"/>
        <v>2.2313900578947385</v>
      </c>
      <c r="AW56" s="23">
        <f t="shared" si="27"/>
        <v>1.0375171052631591</v>
      </c>
      <c r="AX56" s="22">
        <f t="shared" si="28"/>
        <v>-26.022194210526266</v>
      </c>
      <c r="AY56" s="22">
        <f t="shared" si="29"/>
        <v>-0.25527772520526265</v>
      </c>
      <c r="AZ56" s="22">
        <f t="shared" si="30"/>
        <v>-8.5092575068420884E-2</v>
      </c>
      <c r="BA56" s="22">
        <f t="shared" si="25"/>
        <v>-1.6337774413136809E-2</v>
      </c>
      <c r="BB56" s="35">
        <f t="shared" si="31"/>
        <v>-3.3317365395850755</v>
      </c>
      <c r="BC56" s="19">
        <f t="shared" si="32"/>
        <v>2.3151053535799422</v>
      </c>
      <c r="BD56" s="19">
        <f t="shared" si="33"/>
        <v>-1.4391295559975597</v>
      </c>
      <c r="BE56" s="15"/>
      <c r="BF56" s="15"/>
    </row>
    <row r="57" spans="1:58" x14ac:dyDescent="0.3">
      <c r="A57" s="1"/>
      <c r="B57" s="1"/>
      <c r="C57" s="1"/>
      <c r="F57" s="1"/>
      <c r="G57" s="1"/>
      <c r="H57" s="1"/>
      <c r="K57" s="1"/>
      <c r="L57" s="1"/>
      <c r="M57" s="1"/>
      <c r="P57" s="1"/>
      <c r="Q57" s="1"/>
      <c r="R57" s="1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24">
        <f t="shared" si="34"/>
        <v>2026.3157894736853</v>
      </c>
      <c r="AV57" s="23">
        <f t="shared" si="26"/>
        <v>2.3758953210526337</v>
      </c>
      <c r="AW57" s="23">
        <f t="shared" si="27"/>
        <v>1.1442539473684221</v>
      </c>
      <c r="AX57" s="22">
        <f t="shared" si="28"/>
        <v>-22.581667894736796</v>
      </c>
      <c r="AY57" s="22">
        <f t="shared" si="29"/>
        <v>-0.221526162047368</v>
      </c>
      <c r="AZ57" s="22">
        <f t="shared" si="30"/>
        <v>-7.3842054015789332E-2</v>
      </c>
      <c r="BA57" s="22">
        <f t="shared" si="25"/>
        <v>-1.4177674371031552E-2</v>
      </c>
      <c r="BB57" s="35">
        <f t="shared" si="31"/>
        <v>-3.0084428060618609</v>
      </c>
      <c r="BC57" s="19">
        <f t="shared" si="32"/>
        <v>2.7186275996486406</v>
      </c>
      <c r="BD57" s="19">
        <f t="shared" si="33"/>
        <v>-1.1066034959884452</v>
      </c>
      <c r="BE57" s="15"/>
      <c r="BF57" s="15"/>
    </row>
    <row r="58" spans="1:58" x14ac:dyDescent="0.3">
      <c r="A58" s="1"/>
      <c r="B58" s="1"/>
      <c r="C58" s="1"/>
      <c r="F58" s="1"/>
      <c r="G58" s="1"/>
      <c r="H58" s="1"/>
      <c r="K58" s="1"/>
      <c r="L58" s="1"/>
      <c r="M58" s="1"/>
      <c r="P58" s="1"/>
      <c r="Q58" s="1"/>
      <c r="R58" s="1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24">
        <f t="shared" si="34"/>
        <v>2105.263157894738</v>
      </c>
      <c r="AV58" s="23">
        <f t="shared" si="26"/>
        <v>2.5204005842105284</v>
      </c>
      <c r="AW58" s="23">
        <f t="shared" si="27"/>
        <v>1.2509907894736856</v>
      </c>
      <c r="AX58" s="22">
        <f t="shared" si="28"/>
        <v>-19.141141578947312</v>
      </c>
      <c r="AY58" s="22">
        <f t="shared" si="29"/>
        <v>-0.18777459888947315</v>
      </c>
      <c r="AZ58" s="22">
        <f t="shared" si="30"/>
        <v>-6.2591532963157712E-2</v>
      </c>
      <c r="BA58" s="22">
        <f t="shared" si="25"/>
        <v>-1.201757432892628E-2</v>
      </c>
      <c r="BB58" s="35">
        <f t="shared" si="31"/>
        <v>-2.6494323867898117</v>
      </c>
      <c r="BC58" s="19">
        <f t="shared" si="32"/>
        <v>3.1529979166314672</v>
      </c>
      <c r="BD58" s="19">
        <f t="shared" si="33"/>
        <v>-0.84028992623641052</v>
      </c>
      <c r="BE58" s="15"/>
      <c r="BF58" s="15"/>
    </row>
    <row r="59" spans="1:58" x14ac:dyDescent="0.3">
      <c r="A59" s="1"/>
      <c r="B59" s="1"/>
      <c r="C59" s="1"/>
      <c r="F59" s="1"/>
      <c r="G59" s="1"/>
      <c r="H59" s="1"/>
      <c r="K59" s="1"/>
      <c r="L59" s="1"/>
      <c r="M59" s="1"/>
      <c r="P59" s="1"/>
      <c r="Q59" s="1"/>
      <c r="R59" s="1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24">
        <f t="shared" si="34"/>
        <v>2184.2105263157905</v>
      </c>
      <c r="AV59" s="23">
        <f t="shared" si="26"/>
        <v>2.6649058473684231</v>
      </c>
      <c r="AW59" s="23">
        <f t="shared" si="27"/>
        <v>1.3577276315789486</v>
      </c>
      <c r="AX59" s="22">
        <f t="shared" si="28"/>
        <v>-15.700615263157843</v>
      </c>
      <c r="AY59" s="22">
        <f t="shared" si="29"/>
        <v>-0.15402303573157847</v>
      </c>
      <c r="AZ59" s="22">
        <f t="shared" si="30"/>
        <v>-5.1341011910526153E-2</v>
      </c>
      <c r="BA59" s="22">
        <f t="shared" si="25"/>
        <v>-9.8574742868210215E-3</v>
      </c>
      <c r="BB59" s="35">
        <f t="shared" si="31"/>
        <v>-2.2547052817689348</v>
      </c>
      <c r="BC59" s="19">
        <f t="shared" si="32"/>
        <v>3.6182163045284201</v>
      </c>
      <c r="BD59" s="19">
        <f t="shared" si="33"/>
        <v>-0.62315381171297923</v>
      </c>
      <c r="BE59" s="15"/>
      <c r="BF59" s="15"/>
    </row>
    <row r="60" spans="1:58" x14ac:dyDescent="0.3">
      <c r="A60" s="1"/>
      <c r="B60" s="1"/>
      <c r="C60" s="1"/>
      <c r="F60" s="1"/>
      <c r="G60" s="1"/>
      <c r="H60" s="1"/>
      <c r="K60" s="1"/>
      <c r="L60" s="1"/>
      <c r="M60" s="1"/>
      <c r="P60" s="1"/>
      <c r="Q60" s="1"/>
      <c r="R60" s="1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24">
        <f t="shared" si="34"/>
        <v>2263.157894736843</v>
      </c>
      <c r="AV60" s="23">
        <f t="shared" si="26"/>
        <v>2.8094111105263178</v>
      </c>
      <c r="AW60" s="23">
        <f t="shared" si="27"/>
        <v>1.4644644736842116</v>
      </c>
      <c r="AX60" s="22">
        <f t="shared" si="28"/>
        <v>-12.260088947368374</v>
      </c>
      <c r="AY60" s="22">
        <f t="shared" si="29"/>
        <v>-0.12027147257368376</v>
      </c>
      <c r="AZ60" s="22">
        <f t="shared" si="30"/>
        <v>-4.0090490857894588E-2</v>
      </c>
      <c r="BA60" s="22">
        <f t="shared" si="25"/>
        <v>-7.6973742447157606E-3</v>
      </c>
      <c r="BB60" s="35">
        <f t="shared" si="31"/>
        <v>-1.8242614909992261</v>
      </c>
      <c r="BC60" s="19">
        <f t="shared" si="32"/>
        <v>4.1142827633395003</v>
      </c>
      <c r="BD60" s="19">
        <f t="shared" si="33"/>
        <v>-0.44339720819735323</v>
      </c>
      <c r="BE60" s="15"/>
      <c r="BF60" s="15"/>
    </row>
    <row r="61" spans="1:58" x14ac:dyDescent="0.3">
      <c r="A61" s="1"/>
      <c r="B61" s="1"/>
      <c r="C61" s="1"/>
      <c r="F61" s="1"/>
      <c r="G61" s="1"/>
      <c r="H61" s="1"/>
      <c r="K61" s="1"/>
      <c r="L61" s="1"/>
      <c r="M61" s="1"/>
      <c r="P61" s="1"/>
      <c r="Q61" s="1"/>
      <c r="R61" s="1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24">
        <f t="shared" si="34"/>
        <v>2342.1052631578955</v>
      </c>
      <c r="AV61" s="23">
        <f t="shared" si="26"/>
        <v>2.953916373684212</v>
      </c>
      <c r="AW61" s="23">
        <f t="shared" si="27"/>
        <v>1.5712013157894742</v>
      </c>
      <c r="AX61" s="22">
        <f t="shared" si="28"/>
        <v>-8.8195626315789042</v>
      </c>
      <c r="AY61" s="22">
        <f t="shared" si="29"/>
        <v>-8.6519909415789062E-2</v>
      </c>
      <c r="AZ61" s="22">
        <f t="shared" si="30"/>
        <v>-2.8839969805263019E-2</v>
      </c>
      <c r="BA61" s="22">
        <f t="shared" si="25"/>
        <v>-5.5372742026104996E-3</v>
      </c>
      <c r="BB61" s="35">
        <f t="shared" si="31"/>
        <v>-1.3581010144806864</v>
      </c>
      <c r="BC61" s="19">
        <f t="shared" si="32"/>
        <v>4.6411972930647059</v>
      </c>
      <c r="BD61" s="19">
        <f t="shared" si="33"/>
        <v>-0.29261867762227711</v>
      </c>
      <c r="BE61" s="15"/>
      <c r="BF61" s="15"/>
    </row>
    <row r="62" spans="1:58" x14ac:dyDescent="0.3">
      <c r="A62" s="1"/>
      <c r="B62" s="1"/>
      <c r="C62" s="1"/>
      <c r="F62" s="1"/>
      <c r="G62" s="1"/>
      <c r="H62" s="1"/>
      <c r="K62" s="1"/>
      <c r="L62" s="1"/>
      <c r="M62" s="1"/>
      <c r="P62" s="1"/>
      <c r="Q62" s="1"/>
      <c r="R62" s="1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24">
        <f t="shared" si="34"/>
        <v>2421.052631578948</v>
      </c>
      <c r="AV62" s="23">
        <f t="shared" si="26"/>
        <v>3.0984216368421063</v>
      </c>
      <c r="AW62" s="23">
        <f t="shared" si="27"/>
        <v>1.6779381578947372</v>
      </c>
      <c r="AX62" s="22">
        <f t="shared" si="28"/>
        <v>-5.379036315789449</v>
      </c>
      <c r="AY62" s="22">
        <f t="shared" si="29"/>
        <v>-5.2768346257894498E-2</v>
      </c>
      <c r="AZ62" s="22">
        <f t="shared" si="30"/>
        <v>-1.7589448752631499E-2</v>
      </c>
      <c r="BA62" s="22">
        <f t="shared" si="25"/>
        <v>-3.3771741605052477E-3</v>
      </c>
      <c r="BB62" s="35">
        <f t="shared" si="31"/>
        <v>-0.85622385221331798</v>
      </c>
      <c r="BC62" s="19">
        <f t="shared" si="32"/>
        <v>5.19895989370404</v>
      </c>
      <c r="BD62" s="19">
        <f t="shared" si="33"/>
        <v>-0.16469137475944146</v>
      </c>
      <c r="BE62" s="15"/>
      <c r="BF62" s="15"/>
    </row>
    <row r="63" spans="1:58" x14ac:dyDescent="0.3">
      <c r="A63" s="1"/>
      <c r="B63" s="1"/>
      <c r="C63" s="1"/>
      <c r="F63" s="1"/>
      <c r="G63" s="1"/>
      <c r="H63" s="1"/>
      <c r="K63" s="1"/>
      <c r="L63" s="1"/>
      <c r="M63" s="1"/>
      <c r="P63" s="1"/>
      <c r="Q63" s="1"/>
      <c r="R63" s="1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24">
        <f t="shared" si="34"/>
        <v>2500.0000000000005</v>
      </c>
      <c r="AV63" s="23">
        <f t="shared" si="26"/>
        <v>3.2429269000000005</v>
      </c>
      <c r="AW63" s="23">
        <f t="shared" si="27"/>
        <v>1.7846750000000002</v>
      </c>
      <c r="AX63" s="22">
        <f t="shared" si="28"/>
        <v>-1.9385099999999795</v>
      </c>
      <c r="AY63" s="22">
        <f t="shared" si="29"/>
        <v>-1.9016783099999799E-2</v>
      </c>
      <c r="AZ63" s="22">
        <f t="shared" si="30"/>
        <v>-6.3389276999999333E-3</v>
      </c>
      <c r="BA63" s="22">
        <f t="shared" si="25"/>
        <v>-1.2170741183999871E-3</v>
      </c>
      <c r="BB63" s="35">
        <f t="shared" si="31"/>
        <v>-0.31863000419711668</v>
      </c>
      <c r="BC63" s="19">
        <f t="shared" si="32"/>
        <v>5.7875705652575018</v>
      </c>
      <c r="BD63" s="19">
        <f t="shared" si="33"/>
        <v>-5.5054189077164216E-2</v>
      </c>
      <c r="BE63" s="15"/>
      <c r="BF63" s="15"/>
    </row>
    <row r="64" spans="1:58" x14ac:dyDescent="0.3">
      <c r="A64" s="1"/>
      <c r="B64" s="1"/>
      <c r="C64" s="1"/>
      <c r="F64" s="1"/>
      <c r="G64" s="1"/>
      <c r="H64" s="1"/>
      <c r="K64" s="1"/>
      <c r="L64" s="1"/>
      <c r="M64" s="1"/>
      <c r="P64" s="1"/>
      <c r="Q64" s="1"/>
      <c r="R64" s="1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24">
        <f t="shared" si="34"/>
        <v>2578.9473684210529</v>
      </c>
      <c r="AV64" s="23">
        <f t="shared" si="26"/>
        <v>3.3874321631578956</v>
      </c>
      <c r="AW64" s="23">
        <f t="shared" si="27"/>
        <v>1.8914118421052633</v>
      </c>
      <c r="AX64" s="22">
        <f t="shared" si="28"/>
        <v>1.5020163157894899</v>
      </c>
      <c r="AY64" s="22">
        <f t="shared" si="29"/>
        <v>1.4734780057894897E-2</v>
      </c>
      <c r="AZ64" s="22">
        <f t="shared" si="30"/>
        <v>4.9115933526316319E-3</v>
      </c>
      <c r="BA64" s="22">
        <f t="shared" si="25"/>
        <v>9.4302592370527341E-4</v>
      </c>
      <c r="BB64" s="35">
        <f t="shared" si="31"/>
        <v>0.25468052956791554</v>
      </c>
      <c r="BC64" s="19">
        <f t="shared" si="32"/>
        <v>6.4070293077250922</v>
      </c>
      <c r="BD64" s="19">
        <f t="shared" si="33"/>
        <v>3.9750173962969357E-2</v>
      </c>
      <c r="BE64" s="15"/>
      <c r="BF64" s="15"/>
    </row>
    <row r="65" spans="1:58" x14ac:dyDescent="0.3">
      <c r="A65" s="1"/>
      <c r="B65" s="1"/>
      <c r="C65" s="1"/>
      <c r="F65" s="1"/>
      <c r="G65" s="1"/>
      <c r="H65" s="1"/>
      <c r="K65" s="1"/>
      <c r="L65" s="1"/>
      <c r="M65" s="1"/>
      <c r="P65" s="1"/>
      <c r="Q65" s="1"/>
      <c r="R65" s="1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24">
        <f t="shared" si="34"/>
        <v>2657.8947368421054</v>
      </c>
      <c r="AV65" s="23">
        <f t="shared" si="26"/>
        <v>3.5319374263157899</v>
      </c>
      <c r="AW65" s="23">
        <f t="shared" si="27"/>
        <v>1.9981486842105263</v>
      </c>
      <c r="AX65" s="22">
        <f t="shared" si="28"/>
        <v>4.9425426315789593</v>
      </c>
      <c r="AY65" s="22">
        <f t="shared" si="29"/>
        <v>4.8486343215789596E-2</v>
      </c>
      <c r="AZ65" s="22">
        <f t="shared" si="30"/>
        <v>1.61621144052632E-2</v>
      </c>
      <c r="BA65" s="22">
        <f t="shared" si="25"/>
        <v>3.103125965810534E-3</v>
      </c>
      <c r="BB65" s="35">
        <f t="shared" si="31"/>
        <v>0.86370774908177872</v>
      </c>
      <c r="BC65" s="19">
        <f t="shared" si="32"/>
        <v>7.0573361211068084</v>
      </c>
      <c r="BD65" s="19">
        <f t="shared" si="33"/>
        <v>0.12238438615650386</v>
      </c>
      <c r="BE65" s="15"/>
      <c r="BF65" s="15"/>
    </row>
    <row r="66" spans="1:58" x14ac:dyDescent="0.3"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24">
        <f t="shared" si="34"/>
        <v>2736.8421052631579</v>
      </c>
      <c r="AV66" s="23">
        <f t="shared" si="26"/>
        <v>3.6764426894736841</v>
      </c>
      <c r="AW66" s="23">
        <f t="shared" si="27"/>
        <v>2.1048855263157895</v>
      </c>
      <c r="AX66" s="22">
        <f t="shared" si="28"/>
        <v>8.3830689473684288</v>
      </c>
      <c r="AY66" s="22">
        <f t="shared" si="29"/>
        <v>8.2237906373684291E-2</v>
      </c>
      <c r="AZ66" s="22">
        <f t="shared" si="30"/>
        <v>2.7412635457894765E-2</v>
      </c>
      <c r="BA66" s="22">
        <f t="shared" si="25"/>
        <v>5.2632260079157949E-3</v>
      </c>
      <c r="BB66" s="35">
        <f t="shared" si="31"/>
        <v>1.508451654344473</v>
      </c>
      <c r="BC66" s="19">
        <f t="shared" si="32"/>
        <v>7.7384910054026523</v>
      </c>
      <c r="BD66" s="19">
        <f t="shared" si="33"/>
        <v>0.1949283979643244</v>
      </c>
      <c r="BE66" s="15"/>
      <c r="BF66" s="15"/>
    </row>
    <row r="67" spans="1:58" x14ac:dyDescent="0.3">
      <c r="A67" s="11" t="s">
        <v>23</v>
      </c>
      <c r="B67" s="11"/>
      <c r="C67" s="11"/>
      <c r="D67" s="11"/>
      <c r="E67" s="11"/>
      <c r="F67" s="11"/>
      <c r="G67" s="11"/>
      <c r="H67" s="11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24">
        <f t="shared" si="34"/>
        <v>2815.7894736842104</v>
      </c>
      <c r="AV67" s="23">
        <f t="shared" si="26"/>
        <v>3.8209479526315793</v>
      </c>
      <c r="AW67" s="23">
        <f t="shared" si="27"/>
        <v>2.2116223684210521</v>
      </c>
      <c r="AX67" s="22">
        <f t="shared" si="28"/>
        <v>11.823595263157898</v>
      </c>
      <c r="AY67" s="22">
        <f t="shared" si="29"/>
        <v>0.11598946953157899</v>
      </c>
      <c r="AZ67" s="22">
        <f t="shared" si="30"/>
        <v>3.8663156510526327E-2</v>
      </c>
      <c r="BA67" s="22">
        <f t="shared" si="25"/>
        <v>7.4233260500210551E-3</v>
      </c>
      <c r="BB67" s="35">
        <f t="shared" si="31"/>
        <v>2.1889122453559975</v>
      </c>
      <c r="BC67" s="19">
        <f t="shared" si="32"/>
        <v>8.4504939606126239</v>
      </c>
      <c r="BD67" s="19">
        <f t="shared" si="33"/>
        <v>0.259027727320843</v>
      </c>
      <c r="BE67" s="15"/>
      <c r="BF67" s="15"/>
    </row>
    <row r="68" spans="1:58" x14ac:dyDescent="0.3"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24">
        <f t="shared" si="34"/>
        <v>2894.7368421052629</v>
      </c>
      <c r="AV68" s="23">
        <f t="shared" si="26"/>
        <v>3.9654532157894735</v>
      </c>
      <c r="AW68" s="23">
        <f t="shared" si="27"/>
        <v>2.3183592105263147</v>
      </c>
      <c r="AX68" s="22">
        <f t="shared" si="28"/>
        <v>15.264121578947368</v>
      </c>
      <c r="AY68" s="22">
        <f t="shared" si="29"/>
        <v>0.1497410326894737</v>
      </c>
      <c r="AZ68" s="22">
        <f t="shared" si="30"/>
        <v>4.9913677563157899E-2</v>
      </c>
      <c r="BA68" s="22">
        <f t="shared" si="25"/>
        <v>9.583426092126316E-3</v>
      </c>
      <c r="BB68" s="35">
        <f t="shared" si="31"/>
        <v>2.9050895221163535</v>
      </c>
      <c r="BC68" s="19">
        <f t="shared" si="32"/>
        <v>9.1933449867367187</v>
      </c>
      <c r="BD68" s="19">
        <f t="shared" si="33"/>
        <v>0.31599918487857681</v>
      </c>
      <c r="BE68" s="15"/>
      <c r="BF68" s="15"/>
    </row>
    <row r="69" spans="1:58" x14ac:dyDescent="0.3">
      <c r="A69" t="s">
        <v>16</v>
      </c>
      <c r="B69" t="s">
        <v>12</v>
      </c>
      <c r="C69" t="s">
        <v>22</v>
      </c>
      <c r="K69" t="s">
        <v>17</v>
      </c>
      <c r="L69" t="s">
        <v>14</v>
      </c>
      <c r="M69" t="s">
        <v>22</v>
      </c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24">
        <f t="shared" si="34"/>
        <v>2973.6842105263154</v>
      </c>
      <c r="AV69" s="23">
        <f t="shared" si="26"/>
        <v>4.1099584789473678</v>
      </c>
      <c r="AW69" s="23">
        <f t="shared" si="27"/>
        <v>2.4250960526315781</v>
      </c>
      <c r="AX69" s="22">
        <f t="shared" si="28"/>
        <v>18.704647894736837</v>
      </c>
      <c r="AY69" s="22">
        <f t="shared" si="29"/>
        <v>0.18349259584736838</v>
      </c>
      <c r="AZ69" s="22">
        <f t="shared" si="30"/>
        <v>6.1164198615789457E-2</v>
      </c>
      <c r="BA69" s="22">
        <f t="shared" si="25"/>
        <v>1.1743526134231576E-2</v>
      </c>
      <c r="BB69" s="35">
        <f t="shared" si="31"/>
        <v>3.6569834846255405</v>
      </c>
      <c r="BC69" s="19">
        <f t="shared" si="32"/>
        <v>9.9670440837749474</v>
      </c>
      <c r="BD69" s="19">
        <f t="shared" si="33"/>
        <v>0.36690752583091657</v>
      </c>
      <c r="BE69" s="15"/>
      <c r="BF69" s="15"/>
    </row>
    <row r="70" spans="1:58" x14ac:dyDescent="0.3">
      <c r="A70" s="1" t="s">
        <v>0</v>
      </c>
      <c r="B70" s="1" t="s">
        <v>1</v>
      </c>
      <c r="C70" s="1" t="s">
        <v>2</v>
      </c>
      <c r="F70" s="1" t="s">
        <v>3</v>
      </c>
      <c r="G70" s="1" t="s">
        <v>1</v>
      </c>
      <c r="H70" s="1" t="s">
        <v>2</v>
      </c>
      <c r="K70" s="1" t="s">
        <v>0</v>
      </c>
      <c r="L70" s="1" t="s">
        <v>1</v>
      </c>
      <c r="M70" s="1" t="s">
        <v>2</v>
      </c>
      <c r="P70" s="1" t="s">
        <v>3</v>
      </c>
      <c r="Q70" s="1" t="s">
        <v>1</v>
      </c>
      <c r="R70" s="1" t="s">
        <v>2</v>
      </c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24">
        <f t="shared" si="34"/>
        <v>3052.6315789473679</v>
      </c>
      <c r="AV70" s="23">
        <f t="shared" si="26"/>
        <v>4.254463742105262</v>
      </c>
      <c r="AW70" s="23">
        <f t="shared" si="27"/>
        <v>2.5318328947368416</v>
      </c>
      <c r="AX70" s="22">
        <f t="shared" si="28"/>
        <v>22.145174210526307</v>
      </c>
      <c r="AY70" s="22">
        <f t="shared" si="29"/>
        <v>0.21724415900526306</v>
      </c>
      <c r="AZ70" s="22">
        <f t="shared" si="30"/>
        <v>7.2414719668421015E-2</v>
      </c>
      <c r="BA70" s="22">
        <f t="shared" si="25"/>
        <v>1.3903626176336836E-2</v>
      </c>
      <c r="BB70" s="35">
        <f t="shared" si="31"/>
        <v>4.4445941328835579</v>
      </c>
      <c r="BC70" s="19">
        <f t="shared" si="32"/>
        <v>10.771591251727301</v>
      </c>
      <c r="BD70" s="19">
        <f>BB70/BC70</f>
        <v>0.41262187071671846</v>
      </c>
      <c r="BE70" s="15"/>
      <c r="BF70" s="15"/>
    </row>
    <row r="71" spans="1:58" x14ac:dyDescent="0.3">
      <c r="A71" s="1">
        <v>4.88</v>
      </c>
      <c r="B71" s="10">
        <v>41.5</v>
      </c>
      <c r="C71" s="1">
        <v>3400</v>
      </c>
      <c r="F71" s="1">
        <v>3</v>
      </c>
      <c r="G71" s="1">
        <v>38</v>
      </c>
      <c r="H71" s="1">
        <v>3409</v>
      </c>
      <c r="K71" s="1">
        <v>4.5999999999999996</v>
      </c>
      <c r="L71" s="10">
        <v>25</v>
      </c>
      <c r="M71" s="1">
        <v>3250</v>
      </c>
      <c r="P71" s="1">
        <v>2.75</v>
      </c>
      <c r="Q71" s="1">
        <v>28.5</v>
      </c>
      <c r="R71" s="1">
        <v>3250</v>
      </c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24">
        <f t="shared" si="34"/>
        <v>3131.5789473684204</v>
      </c>
      <c r="AV71" s="23">
        <f t="shared" si="26"/>
        <v>4.3989690052631572</v>
      </c>
      <c r="AW71" s="23">
        <f t="shared" si="27"/>
        <v>2.6385697368421042</v>
      </c>
      <c r="AX71" s="22">
        <f t="shared" si="28"/>
        <v>25.585700526315776</v>
      </c>
      <c r="AY71" s="22">
        <f t="shared" si="29"/>
        <v>0.2509957221631578</v>
      </c>
      <c r="AZ71" s="22">
        <f t="shared" si="30"/>
        <v>8.3665240721052594E-2</v>
      </c>
      <c r="BA71" s="22">
        <f t="shared" si="25"/>
        <v>1.6063726218442098E-2</v>
      </c>
      <c r="BB71" s="35">
        <f t="shared" si="31"/>
        <v>5.2679214668904075</v>
      </c>
      <c r="BC71" s="19">
        <f t="shared" si="32"/>
        <v>11.606986490593782</v>
      </c>
      <c r="BD71" s="19">
        <f t="shared" si="33"/>
        <v>0.45385780979063717</v>
      </c>
      <c r="BE71" s="15"/>
      <c r="BF71" s="15"/>
    </row>
    <row r="72" spans="1:58" x14ac:dyDescent="0.3">
      <c r="A72" s="1">
        <v>4.82</v>
      </c>
      <c r="B72" s="10">
        <v>39.4</v>
      </c>
      <c r="C72" s="1">
        <v>3350</v>
      </c>
      <c r="F72" s="1">
        <v>2.95</v>
      </c>
      <c r="G72" s="1">
        <v>35</v>
      </c>
      <c r="H72" s="1">
        <v>3325</v>
      </c>
      <c r="K72" s="1">
        <v>4.5</v>
      </c>
      <c r="L72" s="10">
        <v>22.5</v>
      </c>
      <c r="M72" s="1">
        <v>3209</v>
      </c>
      <c r="P72" s="1">
        <v>2.7</v>
      </c>
      <c r="Q72" s="1">
        <v>26.9</v>
      </c>
      <c r="R72" s="1">
        <v>3220</v>
      </c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24">
        <f t="shared" si="34"/>
        <v>3210.5263157894728</v>
      </c>
      <c r="AV72" s="23">
        <f t="shared" si="26"/>
        <v>4.5434742684210514</v>
      </c>
      <c r="AW72" s="23">
        <f t="shared" si="27"/>
        <v>2.7453065789473667</v>
      </c>
      <c r="AX72" s="22">
        <f t="shared" si="28"/>
        <v>29.026226842105245</v>
      </c>
      <c r="AY72" s="22">
        <f t="shared" si="29"/>
        <v>0.28474728532105248</v>
      </c>
      <c r="AZ72" s="22">
        <f t="shared" si="30"/>
        <v>9.491576177368416E-2</v>
      </c>
      <c r="BA72" s="22">
        <f t="shared" si="25"/>
        <v>1.822382626054736E-2</v>
      </c>
      <c r="BB72" s="35">
        <f t="shared" si="31"/>
        <v>6.1269654866460872</v>
      </c>
      <c r="BC72" s="19">
        <f t="shared" si="32"/>
        <v>12.473229800374387</v>
      </c>
      <c r="BD72" s="19">
        <f t="shared" si="33"/>
        <v>0.49120922044282267</v>
      </c>
      <c r="BE72" s="15"/>
      <c r="BF72" s="15"/>
    </row>
    <row r="73" spans="1:58" x14ac:dyDescent="0.3">
      <c r="A73" s="1">
        <v>4.8</v>
      </c>
      <c r="B73" s="10">
        <v>37.5</v>
      </c>
      <c r="C73" s="1">
        <v>3355</v>
      </c>
      <c r="F73" s="1">
        <v>2.9</v>
      </c>
      <c r="G73" s="1">
        <v>34</v>
      </c>
      <c r="H73" s="1">
        <v>3280</v>
      </c>
      <c r="K73" s="1">
        <v>4.54</v>
      </c>
      <c r="L73" s="10">
        <v>21.5</v>
      </c>
      <c r="M73" s="1">
        <v>3170</v>
      </c>
      <c r="P73" s="1">
        <v>2.69</v>
      </c>
      <c r="Q73" s="1">
        <v>28</v>
      </c>
      <c r="R73" s="1">
        <v>3160</v>
      </c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24">
        <f t="shared" si="34"/>
        <v>3289.4736842105253</v>
      </c>
      <c r="AV73" s="23">
        <f t="shared" si="26"/>
        <v>4.6879795315789456</v>
      </c>
      <c r="AW73" s="23">
        <f t="shared" si="27"/>
        <v>2.8520434210526302</v>
      </c>
      <c r="AX73" s="22">
        <f t="shared" si="28"/>
        <v>32.466753157894686</v>
      </c>
      <c r="AY73" s="22">
        <f t="shared" si="29"/>
        <v>0.31849884847894694</v>
      </c>
      <c r="AZ73" s="22">
        <f t="shared" si="30"/>
        <v>0.10616628282631564</v>
      </c>
      <c r="BA73" s="22">
        <f t="shared" si="25"/>
        <v>2.0383926302652604E-2</v>
      </c>
      <c r="BB73" s="35">
        <f t="shared" si="31"/>
        <v>7.0217261921505925</v>
      </c>
      <c r="BC73" s="19">
        <f t="shared" si="32"/>
        <v>13.370321181069123</v>
      </c>
      <c r="BD73" s="19">
        <f t="shared" si="33"/>
        <v>0.52517258912916542</v>
      </c>
      <c r="BE73" s="15"/>
      <c r="BF73" s="15"/>
    </row>
    <row r="74" spans="1:58" x14ac:dyDescent="0.3">
      <c r="A74" s="1"/>
      <c r="B74" s="10"/>
      <c r="C74" s="1"/>
      <c r="F74" s="1"/>
      <c r="G74" s="1"/>
      <c r="H74" s="1"/>
      <c r="K74" s="1"/>
      <c r="L74" s="10"/>
      <c r="M74" s="1"/>
      <c r="P74" s="1"/>
      <c r="Q74" s="1"/>
      <c r="R74" s="1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24">
        <f t="shared" si="34"/>
        <v>3368.4210526315778</v>
      </c>
      <c r="AV74" s="23">
        <f t="shared" si="26"/>
        <v>4.8324847947368399</v>
      </c>
      <c r="AW74" s="23">
        <f t="shared" si="27"/>
        <v>2.9587802631578928</v>
      </c>
      <c r="AX74" s="22">
        <f t="shared" si="28"/>
        <v>35.907279473684156</v>
      </c>
      <c r="AY74" s="22">
        <f t="shared" si="29"/>
        <v>0.35225041163684156</v>
      </c>
      <c r="AZ74" s="22">
        <f t="shared" si="30"/>
        <v>0.11741680387894719</v>
      </c>
      <c r="BA74" s="22">
        <f t="shared" si="25"/>
        <v>2.2544026344757859E-2</v>
      </c>
      <c r="BB74" s="35">
        <f t="shared" si="31"/>
        <v>7.9522035834039313</v>
      </c>
      <c r="BC74" s="19">
        <f t="shared" si="32"/>
        <v>14.298260632677982</v>
      </c>
      <c r="BD74" s="19">
        <f t="shared" si="33"/>
        <v>0.55616580140031546</v>
      </c>
      <c r="BE74" s="15"/>
      <c r="BF74" s="15"/>
    </row>
    <row r="75" spans="1:58" x14ac:dyDescent="0.3">
      <c r="A75" s="1"/>
      <c r="B75" s="10"/>
      <c r="C75" s="1"/>
      <c r="F75" s="1"/>
      <c r="G75" s="1"/>
      <c r="H75" s="1"/>
      <c r="K75" s="1"/>
      <c r="L75" s="10"/>
      <c r="M75" s="1"/>
      <c r="P75" s="1"/>
      <c r="Q75" s="1"/>
      <c r="R75" s="1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24">
        <f t="shared" si="34"/>
        <v>3447.3684210526303</v>
      </c>
      <c r="AV75" s="23">
        <f t="shared" si="26"/>
        <v>4.976990057894735</v>
      </c>
      <c r="AW75" s="23">
        <f t="shared" si="27"/>
        <v>3.0655171052631562</v>
      </c>
      <c r="AX75" s="22">
        <f t="shared" si="28"/>
        <v>39.347805789473625</v>
      </c>
      <c r="AY75" s="22">
        <f t="shared" si="29"/>
        <v>0.38600197479473625</v>
      </c>
      <c r="AZ75" s="22">
        <f t="shared" si="30"/>
        <v>0.12866732493157876</v>
      </c>
      <c r="BA75" s="22">
        <f t="shared" si="25"/>
        <v>2.4704126386863125E-2</v>
      </c>
      <c r="BB75" s="35">
        <f t="shared" si="31"/>
        <v>8.9183976604061055</v>
      </c>
      <c r="BC75" s="19">
        <f t="shared" si="32"/>
        <v>15.257048155200977</v>
      </c>
      <c r="BD75" s="19">
        <f t="shared" si="33"/>
        <v>0.58454280078849408</v>
      </c>
      <c r="BE75" s="15"/>
      <c r="BF75" s="15"/>
    </row>
    <row r="76" spans="1:58" x14ac:dyDescent="0.3">
      <c r="A76" s="1"/>
      <c r="B76" s="10"/>
      <c r="C76" s="1"/>
      <c r="F76" s="1"/>
      <c r="G76" s="1"/>
      <c r="H76" s="1"/>
      <c r="K76" s="1"/>
      <c r="L76" s="10"/>
      <c r="M76" s="1"/>
      <c r="P76" s="1"/>
      <c r="Q76" s="1"/>
      <c r="R76" s="1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24">
        <f t="shared" si="34"/>
        <v>3526.3157894736828</v>
      </c>
      <c r="AV76" s="23">
        <f t="shared" si="26"/>
        <v>5.1214953210526293</v>
      </c>
      <c r="AW76" s="23">
        <f t="shared" si="27"/>
        <v>3.1722539473684188</v>
      </c>
      <c r="AX76" s="22">
        <f t="shared" si="28"/>
        <v>42.788332105263095</v>
      </c>
      <c r="AY76" s="22">
        <f t="shared" si="29"/>
        <v>0.41975353795263098</v>
      </c>
      <c r="AZ76" s="22">
        <f t="shared" si="30"/>
        <v>0.13991784598421034</v>
      </c>
      <c r="BA76" s="22">
        <f t="shared" si="25"/>
        <v>2.6864226428968387E-2</v>
      </c>
      <c r="BB76" s="35">
        <f t="shared" si="31"/>
        <v>9.9203084231571079</v>
      </c>
      <c r="BC76" s="19">
        <f t="shared" si="32"/>
        <v>16.246683748638091</v>
      </c>
      <c r="BD76" s="19">
        <f t="shared" si="33"/>
        <v>0.61060512881520801</v>
      </c>
      <c r="BE76" s="15"/>
      <c r="BF76" s="15"/>
    </row>
    <row r="77" spans="1:58" x14ac:dyDescent="0.3">
      <c r="A77" s="1"/>
      <c r="B77" s="10"/>
      <c r="C77" s="1"/>
      <c r="F77" s="1"/>
      <c r="G77" s="1"/>
      <c r="H77" s="1"/>
      <c r="K77" s="1"/>
      <c r="L77" s="10"/>
      <c r="M77" s="1"/>
      <c r="P77" s="1"/>
      <c r="Q77" s="1"/>
      <c r="R77" s="1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24">
        <f t="shared" si="34"/>
        <v>3605.2631578947353</v>
      </c>
      <c r="AV77" s="23">
        <f t="shared" si="26"/>
        <v>5.2660005842105235</v>
      </c>
      <c r="AW77" s="23">
        <f t="shared" si="27"/>
        <v>3.2789907894736823</v>
      </c>
      <c r="AX77" s="22">
        <f t="shared" si="28"/>
        <v>46.228858421052564</v>
      </c>
      <c r="AY77" s="22">
        <f t="shared" si="29"/>
        <v>0.45350510111052567</v>
      </c>
      <c r="AZ77" s="22">
        <f t="shared" si="30"/>
        <v>0.15116836703684189</v>
      </c>
      <c r="BA77" s="22">
        <f t="shared" si="25"/>
        <v>2.9024326471073641E-2</v>
      </c>
      <c r="BB77" s="35">
        <f t="shared" si="31"/>
        <v>10.957935871656941</v>
      </c>
      <c r="BC77" s="19">
        <f t="shared" si="32"/>
        <v>17.267167412989338</v>
      </c>
      <c r="BD77" s="19">
        <f t="shared" si="33"/>
        <v>0.63461108643759157</v>
      </c>
      <c r="BE77" s="15"/>
      <c r="BF77" s="15"/>
    </row>
    <row r="78" spans="1:58" x14ac:dyDescent="0.3">
      <c r="A78" s="1"/>
      <c r="B78" s="10"/>
      <c r="C78" s="1"/>
      <c r="F78" s="1"/>
      <c r="G78" s="1"/>
      <c r="H78" s="1"/>
      <c r="K78" s="1"/>
      <c r="L78" s="10"/>
      <c r="M78" s="1"/>
      <c r="P78" s="1"/>
      <c r="Q78" s="1"/>
      <c r="R78" s="1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24">
        <f t="shared" si="34"/>
        <v>3684.2105263157878</v>
      </c>
      <c r="AV78" s="23">
        <f t="shared" si="26"/>
        <v>5.4105058473684178</v>
      </c>
      <c r="AW78" s="23">
        <f t="shared" si="27"/>
        <v>3.3857276315789449</v>
      </c>
      <c r="AX78" s="22">
        <f t="shared" si="28"/>
        <v>49.669384736842034</v>
      </c>
      <c r="AY78" s="22">
        <f t="shared" si="29"/>
        <v>0.48725666426842035</v>
      </c>
      <c r="AZ78" s="22">
        <f t="shared" si="30"/>
        <v>0.16241888808947344</v>
      </c>
      <c r="BA78" s="22">
        <f t="shared" si="25"/>
        <v>3.11844265131789E-2</v>
      </c>
      <c r="BB78" s="35">
        <f t="shared" si="31"/>
        <v>12.031280005905604</v>
      </c>
      <c r="BC78" s="19">
        <f t="shared" si="32"/>
        <v>18.318499148254705</v>
      </c>
      <c r="BD78" s="19">
        <f t="shared" si="33"/>
        <v>0.65678306440579137</v>
      </c>
      <c r="BE78" s="15"/>
      <c r="BF78" s="15"/>
    </row>
    <row r="79" spans="1:58" x14ac:dyDescent="0.3">
      <c r="A79" s="1"/>
      <c r="B79" s="10"/>
      <c r="C79" s="1"/>
      <c r="F79" s="1"/>
      <c r="G79" s="1"/>
      <c r="H79" s="1"/>
      <c r="K79" s="1"/>
      <c r="L79" s="10"/>
      <c r="M79" s="1"/>
      <c r="P79" s="1"/>
      <c r="Q79" s="1"/>
      <c r="R79" s="1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24">
        <f t="shared" si="34"/>
        <v>3763.1578947368403</v>
      </c>
      <c r="AV79" s="23">
        <f t="shared" si="26"/>
        <v>5.5550111105263129</v>
      </c>
      <c r="AW79" s="23">
        <f t="shared" si="27"/>
        <v>3.4924644736842074</v>
      </c>
      <c r="AX79" s="22">
        <f t="shared" si="28"/>
        <v>53.109911052631503</v>
      </c>
      <c r="AY79" s="22">
        <f t="shared" si="29"/>
        <v>0.52100822742631514</v>
      </c>
      <c r="AZ79" s="22">
        <f t="shared" si="30"/>
        <v>0.17366940914210505</v>
      </c>
      <c r="BA79" s="22">
        <f t="shared" si="25"/>
        <v>3.3344526555284172E-2</v>
      </c>
      <c r="BB79" s="35">
        <f t="shared" si="31"/>
        <v>13.140340825903104</v>
      </c>
      <c r="BC79" s="19">
        <f t="shared" si="32"/>
        <v>19.400678954434206</v>
      </c>
      <c r="BD79" s="19">
        <f t="shared" si="33"/>
        <v>0.67731345159442258</v>
      </c>
      <c r="BE79" s="15"/>
      <c r="BF79" s="15"/>
    </row>
    <row r="80" spans="1:58" x14ac:dyDescent="0.3">
      <c r="A80" s="1"/>
      <c r="B80" s="10"/>
      <c r="C80" s="1"/>
      <c r="F80" s="1"/>
      <c r="G80" s="1"/>
      <c r="H80" s="1"/>
      <c r="K80" s="1"/>
      <c r="L80" s="10"/>
      <c r="M80" s="1"/>
      <c r="P80" s="1"/>
      <c r="Q80" s="1"/>
      <c r="R80" s="1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24">
        <f t="shared" si="34"/>
        <v>3842.1052631578928</v>
      </c>
      <c r="AV80" s="23">
        <f t="shared" si="26"/>
        <v>5.6995163736842072</v>
      </c>
      <c r="AW80" s="23">
        <f t="shared" si="27"/>
        <v>3.5992013157894709</v>
      </c>
      <c r="AX80" s="22">
        <f t="shared" si="28"/>
        <v>56.550437368420972</v>
      </c>
      <c r="AY80" s="22">
        <f t="shared" si="29"/>
        <v>0.55475979058420977</v>
      </c>
      <c r="AZ80" s="22">
        <f t="shared" si="30"/>
        <v>0.1849199301947366</v>
      </c>
      <c r="BA80" s="22">
        <f t="shared" si="25"/>
        <v>3.5504626597389427E-2</v>
      </c>
      <c r="BB80" s="35">
        <f t="shared" si="31"/>
        <v>14.285118331649429</v>
      </c>
      <c r="BC80" s="19">
        <f t="shared" si="32"/>
        <v>20.513706831527831</v>
      </c>
      <c r="BD80" s="19">
        <f t="shared" si="33"/>
        <v>0.69636942991182904</v>
      </c>
      <c r="BE80" s="15"/>
      <c r="BF80" s="15"/>
    </row>
    <row r="81" spans="1:58" x14ac:dyDescent="0.3">
      <c r="A81" s="1"/>
      <c r="B81" s="10"/>
      <c r="C81" s="1"/>
      <c r="F81" s="1"/>
      <c r="G81" s="1"/>
      <c r="H81" s="1"/>
      <c r="K81" s="1"/>
      <c r="L81" s="10"/>
      <c r="M81" s="1"/>
      <c r="P81" s="1"/>
      <c r="Q81" s="1"/>
      <c r="R81" s="1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24">
        <f t="shared" si="34"/>
        <v>3921.0526315789452</v>
      </c>
      <c r="AV81" s="23">
        <f t="shared" si="26"/>
        <v>5.8440216368421014</v>
      </c>
      <c r="AW81" s="23">
        <f t="shared" si="27"/>
        <v>3.7059381578947335</v>
      </c>
      <c r="AX81" s="22">
        <f t="shared" si="28"/>
        <v>59.990963684210442</v>
      </c>
      <c r="AY81" s="22">
        <f t="shared" si="29"/>
        <v>0.5885113537421045</v>
      </c>
      <c r="AZ81" s="22">
        <f t="shared" si="30"/>
        <v>0.19617045124736818</v>
      </c>
      <c r="BA81" s="22">
        <f t="shared" si="25"/>
        <v>3.7664726639494689E-2</v>
      </c>
      <c r="BB81" s="35">
        <f t="shared" si="31"/>
        <v>15.465612523144586</v>
      </c>
      <c r="BC81" s="19">
        <f t="shared" si="32"/>
        <v>21.657582779535581</v>
      </c>
      <c r="BD81" s="19">
        <f t="shared" si="33"/>
        <v>0.71409689070925142</v>
      </c>
      <c r="BE81" s="15"/>
      <c r="BF81" s="15"/>
    </row>
    <row r="82" spans="1:58" x14ac:dyDescent="0.3">
      <c r="A82" s="1"/>
      <c r="B82" s="10"/>
      <c r="C82" s="1"/>
      <c r="F82" s="1"/>
      <c r="G82" s="1"/>
      <c r="H82" s="1"/>
      <c r="K82" s="1"/>
      <c r="L82" s="10"/>
      <c r="M82" s="1"/>
      <c r="P82" s="1"/>
      <c r="Q82" s="1"/>
      <c r="R82" s="1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9">
        <v>4000</v>
      </c>
      <c r="AV82" s="23">
        <f t="shared" si="26"/>
        <v>5.9885269000000001</v>
      </c>
      <c r="AW82" s="23">
        <f t="shared" si="27"/>
        <v>3.8126749999999996</v>
      </c>
      <c r="AX82" s="22">
        <f t="shared" si="28"/>
        <v>63.431489999999997</v>
      </c>
      <c r="AY82" s="22">
        <f t="shared" si="29"/>
        <v>0.62226291690000002</v>
      </c>
      <c r="AZ82" s="22">
        <f>(AY82/4*256)/(3/4*256)</f>
        <v>0.20742097230000001</v>
      </c>
      <c r="BA82" s="22">
        <f>AZ82*3/4*256/1000</f>
        <v>3.9824826681599999E-2</v>
      </c>
      <c r="BB82" s="35">
        <f t="shared" si="31"/>
        <v>16.681823400388609</v>
      </c>
      <c r="BC82" s="19">
        <f t="shared" si="32"/>
        <v>22.832306798457498</v>
      </c>
      <c r="BD82" s="19">
        <f t="shared" si="33"/>
        <v>0.73062365303866705</v>
      </c>
      <c r="BE82" s="15"/>
      <c r="BF82" s="15"/>
    </row>
    <row r="83" spans="1:58" x14ac:dyDescent="0.3">
      <c r="A83" s="1"/>
      <c r="B83" s="10"/>
      <c r="C83" s="1"/>
      <c r="F83" s="1"/>
      <c r="G83" s="1"/>
      <c r="H83" s="1"/>
      <c r="K83" s="1"/>
      <c r="L83" s="10"/>
      <c r="M83" s="1"/>
      <c r="P83" s="1"/>
      <c r="Q83" s="1"/>
      <c r="R83" s="1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</row>
    <row r="84" spans="1:58" x14ac:dyDescent="0.3">
      <c r="A84" s="1"/>
      <c r="B84" s="10"/>
      <c r="C84" s="1"/>
      <c r="F84" s="1"/>
      <c r="G84" s="1"/>
      <c r="H84" s="1"/>
      <c r="K84" s="1"/>
      <c r="L84" s="10"/>
      <c r="M84" s="1"/>
      <c r="P84" s="1"/>
      <c r="Q84" s="1"/>
      <c r="R84" s="1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</row>
    <row r="85" spans="1:58" x14ac:dyDescent="0.3">
      <c r="A85" s="1"/>
      <c r="B85" s="10"/>
      <c r="C85" s="1"/>
      <c r="F85" s="1"/>
      <c r="G85" s="1"/>
      <c r="H85" s="1"/>
      <c r="K85" s="1"/>
      <c r="L85" s="10"/>
      <c r="M85" s="1"/>
      <c r="P85" s="1"/>
      <c r="Q85" s="1"/>
      <c r="R85" s="1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</row>
    <row r="86" spans="1:58" x14ac:dyDescent="0.3">
      <c r="A86" s="1"/>
      <c r="B86" s="1"/>
      <c r="C86" s="1"/>
      <c r="F86" s="1"/>
      <c r="G86" s="1"/>
      <c r="H86" s="1"/>
      <c r="K86" s="1"/>
      <c r="L86" s="1"/>
      <c r="M86" s="1"/>
      <c r="P86" s="1"/>
      <c r="Q86" s="1"/>
      <c r="R86" s="1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</row>
    <row r="87" spans="1:58" ht="25.8" x14ac:dyDescent="0.5">
      <c r="A87" s="1"/>
      <c r="B87" s="1"/>
      <c r="C87" s="1"/>
      <c r="F87" s="1"/>
      <c r="G87" s="1"/>
      <c r="H87" s="1"/>
      <c r="K87" s="1"/>
      <c r="L87" s="1"/>
      <c r="M87" s="1"/>
      <c r="P87" s="1"/>
      <c r="Q87" s="1"/>
      <c r="R87" s="1"/>
      <c r="T87" s="37"/>
      <c r="U87" s="39" t="s">
        <v>52</v>
      </c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</row>
    <row r="88" spans="1:58" ht="15.6" x14ac:dyDescent="0.3">
      <c r="A88" s="1"/>
      <c r="B88" s="1"/>
      <c r="C88" s="1"/>
      <c r="F88" s="1"/>
      <c r="G88" s="1"/>
      <c r="H88" s="1"/>
      <c r="K88" s="1"/>
      <c r="L88" s="1"/>
      <c r="M88" s="1"/>
      <c r="P88" s="1"/>
      <c r="Q88" s="1"/>
      <c r="R88" s="1"/>
      <c r="T88" s="37"/>
      <c r="U88" s="18" t="s">
        <v>53</v>
      </c>
      <c r="V88" s="18"/>
      <c r="W88" s="18"/>
      <c r="X88" s="18"/>
      <c r="Y88" s="18"/>
      <c r="Z88" s="17"/>
      <c r="AA88" s="1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</row>
    <row r="89" spans="1:58" x14ac:dyDescent="0.3">
      <c r="T89" s="37"/>
      <c r="U89" s="19" t="s">
        <v>1</v>
      </c>
      <c r="V89" s="19" t="s">
        <v>2</v>
      </c>
      <c r="W89" s="19" t="s">
        <v>0</v>
      </c>
      <c r="X89" s="37"/>
      <c r="Y89" s="19" t="s">
        <v>1</v>
      </c>
      <c r="Z89" s="19" t="s">
        <v>2</v>
      </c>
      <c r="AA89" s="19" t="s">
        <v>3</v>
      </c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</row>
    <row r="90" spans="1:58" x14ac:dyDescent="0.3">
      <c r="T90" s="37"/>
      <c r="U90" s="23">
        <v>35.5</v>
      </c>
      <c r="V90" s="19">
        <v>3517</v>
      </c>
      <c r="W90" s="19">
        <v>5.05</v>
      </c>
      <c r="X90" s="37"/>
      <c r="Y90" s="19">
        <v>32.5</v>
      </c>
      <c r="Z90" s="19">
        <v>3420</v>
      </c>
      <c r="AA90" s="19">
        <v>2.95</v>
      </c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37"/>
      <c r="AU90" s="37"/>
      <c r="AV90" s="37"/>
    </row>
    <row r="91" spans="1:58" x14ac:dyDescent="0.3">
      <c r="T91" s="37"/>
      <c r="U91" s="23">
        <v>31.8</v>
      </c>
      <c r="V91" s="19">
        <v>3412</v>
      </c>
      <c r="W91" s="19">
        <v>4.9000000000000004</v>
      </c>
      <c r="X91" s="37"/>
      <c r="Y91" s="19">
        <v>29.5</v>
      </c>
      <c r="Z91" s="19">
        <v>3340</v>
      </c>
      <c r="AA91" s="19">
        <v>2.8</v>
      </c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</row>
    <row r="92" spans="1:58" x14ac:dyDescent="0.3">
      <c r="A92" t="s">
        <v>18</v>
      </c>
      <c r="B92" t="s">
        <v>15</v>
      </c>
      <c r="C92" t="s">
        <v>22</v>
      </c>
      <c r="T92" s="37"/>
      <c r="U92" s="23">
        <v>29</v>
      </c>
      <c r="V92" s="19">
        <v>3310</v>
      </c>
      <c r="W92" s="19">
        <v>4.7300000000000004</v>
      </c>
      <c r="X92" s="37"/>
      <c r="Y92" s="19">
        <v>27</v>
      </c>
      <c r="Z92" s="19">
        <v>3220</v>
      </c>
      <c r="AA92" s="19">
        <v>2.7</v>
      </c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  <c r="AV92" s="37"/>
    </row>
    <row r="93" spans="1:58" ht="15" thickBot="1" x14ac:dyDescent="0.35">
      <c r="A93" s="1" t="s">
        <v>0</v>
      </c>
      <c r="B93" s="1" t="s">
        <v>1</v>
      </c>
      <c r="C93" s="1" t="s">
        <v>2</v>
      </c>
      <c r="F93" s="1" t="s">
        <v>3</v>
      </c>
      <c r="G93" s="1" t="s">
        <v>1</v>
      </c>
      <c r="H93" s="1" t="s">
        <v>2</v>
      </c>
      <c r="T93" s="37"/>
      <c r="U93" s="23">
        <v>25</v>
      </c>
      <c r="V93" s="19">
        <v>3150</v>
      </c>
      <c r="W93" s="19">
        <v>4.5</v>
      </c>
      <c r="X93" s="37"/>
      <c r="Y93" s="19">
        <v>29.5</v>
      </c>
      <c r="Z93" s="19">
        <v>3230</v>
      </c>
      <c r="AA93" s="19">
        <v>2.7</v>
      </c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</row>
    <row r="94" spans="1:58" x14ac:dyDescent="0.3">
      <c r="A94" s="1">
        <v>3.95</v>
      </c>
      <c r="B94" s="10">
        <v>25.5</v>
      </c>
      <c r="C94" s="1">
        <v>2909</v>
      </c>
      <c r="F94" s="1">
        <v>2.2000000000000002</v>
      </c>
      <c r="G94" s="1">
        <v>12.5</v>
      </c>
      <c r="H94" s="1">
        <v>2830</v>
      </c>
      <c r="M94" s="2" t="s">
        <v>8</v>
      </c>
      <c r="N94" s="3"/>
      <c r="O94" s="4"/>
      <c r="T94" s="37"/>
      <c r="U94" s="23">
        <v>23.5</v>
      </c>
      <c r="V94" s="19">
        <v>3070</v>
      </c>
      <c r="W94" s="19">
        <v>4.3</v>
      </c>
      <c r="X94" s="37"/>
      <c r="Y94" s="19">
        <v>27</v>
      </c>
      <c r="Z94" s="19">
        <v>3100</v>
      </c>
      <c r="AA94" s="19">
        <v>2.5</v>
      </c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</row>
    <row r="95" spans="1:58" x14ac:dyDescent="0.3">
      <c r="A95" s="1">
        <v>3.88</v>
      </c>
      <c r="B95" s="10">
        <v>21.3</v>
      </c>
      <c r="C95" s="1">
        <v>2835</v>
      </c>
      <c r="F95" s="1">
        <v>2.17</v>
      </c>
      <c r="G95" s="1">
        <v>10.199999999999999</v>
      </c>
      <c r="H95" s="1">
        <v>2775</v>
      </c>
      <c r="M95" s="5" t="s">
        <v>5</v>
      </c>
      <c r="O95" s="6" t="s">
        <v>10</v>
      </c>
      <c r="T95" s="37"/>
      <c r="U95" s="23">
        <v>22.5</v>
      </c>
      <c r="V95" s="19">
        <v>3000</v>
      </c>
      <c r="W95" s="19">
        <v>4.2</v>
      </c>
      <c r="X95" s="37"/>
      <c r="Y95" s="19">
        <v>26</v>
      </c>
      <c r="Z95" s="19">
        <v>3050</v>
      </c>
      <c r="AA95" s="19">
        <v>2.4500000000000002</v>
      </c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</row>
    <row r="96" spans="1:58" x14ac:dyDescent="0.3">
      <c r="A96" s="1">
        <v>3.06</v>
      </c>
      <c r="B96" s="10">
        <v>20</v>
      </c>
      <c r="C96" s="1">
        <v>2805</v>
      </c>
      <c r="F96" s="1">
        <v>2.16</v>
      </c>
      <c r="G96" s="1">
        <v>9.5</v>
      </c>
      <c r="H96" s="1">
        <v>2760</v>
      </c>
      <c r="M96" s="5">
        <v>454</v>
      </c>
      <c r="O96" s="6">
        <f>M99+M96</f>
        <v>605.6</v>
      </c>
      <c r="T96" s="37"/>
      <c r="U96" s="23">
        <v>22</v>
      </c>
      <c r="V96" s="19">
        <v>2800</v>
      </c>
      <c r="W96" s="19">
        <v>3.8</v>
      </c>
      <c r="X96" s="37"/>
      <c r="Y96" s="19">
        <v>18.5</v>
      </c>
      <c r="Z96" s="19">
        <v>2670</v>
      </c>
      <c r="AA96" s="19">
        <v>2</v>
      </c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</row>
    <row r="97" spans="1:48" x14ac:dyDescent="0.3">
      <c r="A97" s="1"/>
      <c r="B97" s="10"/>
      <c r="C97" s="1"/>
      <c r="F97" s="1"/>
      <c r="G97" s="1"/>
      <c r="H97" s="1"/>
      <c r="M97" s="5"/>
      <c r="O97" s="6"/>
      <c r="T97" s="37"/>
      <c r="U97" s="23">
        <v>20.5</v>
      </c>
      <c r="V97" s="19">
        <v>2720</v>
      </c>
      <c r="W97" s="19">
        <v>3.7</v>
      </c>
      <c r="X97" s="37"/>
      <c r="Y97" s="19">
        <v>18</v>
      </c>
      <c r="Z97" s="19">
        <v>2630</v>
      </c>
      <c r="AA97" s="19">
        <v>1.95</v>
      </c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</row>
    <row r="98" spans="1:48" x14ac:dyDescent="0.3">
      <c r="A98" s="1"/>
      <c r="B98" s="10"/>
      <c r="C98" s="1"/>
      <c r="F98" s="1"/>
      <c r="G98" s="1"/>
      <c r="H98" s="1"/>
      <c r="M98" s="5" t="s">
        <v>6</v>
      </c>
      <c r="O98" s="6" t="s">
        <v>11</v>
      </c>
      <c r="T98" s="37"/>
      <c r="U98" s="23">
        <v>19.5</v>
      </c>
      <c r="V98" s="19">
        <v>2682</v>
      </c>
      <c r="W98" s="19">
        <v>3.65</v>
      </c>
      <c r="X98" s="37"/>
      <c r="Y98" s="19">
        <v>17.5</v>
      </c>
      <c r="Z98" s="19">
        <v>2600</v>
      </c>
      <c r="AA98" s="19">
        <v>1.93</v>
      </c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</row>
    <row r="99" spans="1:48" x14ac:dyDescent="0.3">
      <c r="A99" s="1"/>
      <c r="B99" s="10"/>
      <c r="C99" s="1"/>
      <c r="F99" s="1"/>
      <c r="G99" s="1"/>
      <c r="H99" s="1"/>
      <c r="M99" s="5">
        <v>151.6</v>
      </c>
      <c r="O99" s="6">
        <f>O96-M102</f>
        <v>5.6000000000000227</v>
      </c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</row>
    <row r="100" spans="1:48" x14ac:dyDescent="0.3">
      <c r="A100" s="1"/>
      <c r="B100" s="10"/>
      <c r="C100" s="1"/>
      <c r="F100" s="1"/>
      <c r="G100" s="1"/>
      <c r="H100" s="1"/>
      <c r="M100" s="5"/>
      <c r="O100" s="6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</row>
    <row r="101" spans="1:48" x14ac:dyDescent="0.3">
      <c r="A101" s="1"/>
      <c r="B101" s="10"/>
      <c r="C101" s="1"/>
      <c r="F101" s="1"/>
      <c r="G101" s="1"/>
      <c r="H101" s="1"/>
      <c r="M101" s="5" t="s">
        <v>7</v>
      </c>
      <c r="O101" s="6"/>
      <c r="U101" s="37" cm="1">
        <f t="array" ref="U101:V105">LINEST(W90:W98,V90:V98,TRUE,TRUE)</f>
        <v>1.7271149244971441E-3</v>
      </c>
      <c r="V101" s="37">
        <v>-0.99374732516838993</v>
      </c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</row>
    <row r="102" spans="1:48" x14ac:dyDescent="0.3">
      <c r="A102" s="1"/>
      <c r="B102" s="10"/>
      <c r="C102" s="1"/>
      <c r="F102" s="1"/>
      <c r="G102" s="1"/>
      <c r="H102" s="1"/>
      <c r="M102" s="5">
        <v>600</v>
      </c>
      <c r="O102" s="6"/>
      <c r="U102" s="37">
        <v>3.4177617801214939E-5</v>
      </c>
      <c r="V102" s="37">
        <v>0.10549396443559043</v>
      </c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37"/>
      <c r="AU102" s="37"/>
      <c r="AV102" s="37"/>
    </row>
    <row r="103" spans="1:48" ht="15" thickBot="1" x14ac:dyDescent="0.35">
      <c r="A103" s="1"/>
      <c r="B103" s="10"/>
      <c r="C103" s="1"/>
      <c r="F103" s="1"/>
      <c r="G103" s="1"/>
      <c r="H103" s="1"/>
      <c r="M103" s="7"/>
      <c r="N103" s="8"/>
      <c r="O103" s="9"/>
      <c r="U103" s="37">
        <v>0.99726630355093449</v>
      </c>
      <c r="V103" s="37">
        <v>2.9231559704649031E-2</v>
      </c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</row>
    <row r="104" spans="1:48" ht="15" thickBot="1" x14ac:dyDescent="0.35">
      <c r="A104" s="1"/>
      <c r="B104" s="10"/>
      <c r="C104" s="1"/>
      <c r="F104" s="1"/>
      <c r="G104" s="1"/>
      <c r="H104" s="1"/>
      <c r="Q104" cm="1">
        <f t="array" ref="Q104:R108">LINEST(W90:W98,V90:V98,TRUE,TRUE)</f>
        <v>1.7271149244971441E-3</v>
      </c>
      <c r="R104">
        <v>-0.99374732516838993</v>
      </c>
      <c r="U104" s="37">
        <v>2553.6354364593017</v>
      </c>
      <c r="V104" s="37">
        <v>7</v>
      </c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</row>
    <row r="105" spans="1:48" x14ac:dyDescent="0.3">
      <c r="A105" s="1"/>
      <c r="B105" s="10"/>
      <c r="C105" s="1"/>
      <c r="F105" s="1"/>
      <c r="G105" s="1"/>
      <c r="H105" s="1"/>
      <c r="M105" s="2" t="s">
        <v>9</v>
      </c>
      <c r="N105" s="3"/>
      <c r="O105" s="4"/>
      <c r="Q105">
        <v>3.4177617801214939E-5</v>
      </c>
      <c r="R105">
        <v>0.10549396443559043</v>
      </c>
      <c r="U105" s="37">
        <v>2.1820408336428576</v>
      </c>
      <c r="V105" s="37">
        <v>5.9813885793652266E-3</v>
      </c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</row>
    <row r="106" spans="1:48" x14ac:dyDescent="0.3">
      <c r="A106" s="1"/>
      <c r="B106" s="10"/>
      <c r="C106" s="1"/>
      <c r="F106" s="1"/>
      <c r="G106" s="1"/>
      <c r="H106" s="1"/>
      <c r="M106" s="5" t="s">
        <v>5</v>
      </c>
      <c r="O106" s="6" t="str">
        <f>O95</f>
        <v>diffrence</v>
      </c>
      <c r="Q106">
        <v>0.99726630355093449</v>
      </c>
      <c r="R106">
        <v>2.9231559704649031E-2</v>
      </c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37"/>
      <c r="AT106" s="37"/>
      <c r="AU106" s="37"/>
      <c r="AV106" s="37"/>
    </row>
    <row r="107" spans="1:48" x14ac:dyDescent="0.3">
      <c r="A107" s="1"/>
      <c r="B107" s="10"/>
      <c r="C107" s="1"/>
      <c r="F107" s="1"/>
      <c r="G107" s="1"/>
      <c r="H107" s="1"/>
      <c r="M107" s="5">
        <v>303.5</v>
      </c>
      <c r="O107" s="6">
        <f>M107+M110</f>
        <v>615</v>
      </c>
      <c r="Q107">
        <v>2553.6354364593017</v>
      </c>
      <c r="R107">
        <v>7</v>
      </c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</row>
    <row r="108" spans="1:48" x14ac:dyDescent="0.3">
      <c r="A108" s="1"/>
      <c r="B108" s="10"/>
      <c r="C108" s="1"/>
      <c r="F108" s="1"/>
      <c r="G108" s="1"/>
      <c r="H108" s="1"/>
      <c r="M108" s="5"/>
      <c r="O108" s="6"/>
      <c r="Q108">
        <v>2.1820408336428576</v>
      </c>
      <c r="R108">
        <v>5.9813885793652266E-3</v>
      </c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</row>
    <row r="109" spans="1:48" x14ac:dyDescent="0.3">
      <c r="A109" s="1"/>
      <c r="B109" s="1"/>
      <c r="C109" s="1"/>
      <c r="F109" s="1"/>
      <c r="G109" s="1"/>
      <c r="H109" s="1"/>
      <c r="M109" s="5" t="s">
        <v>6</v>
      </c>
      <c r="O109" s="6" t="str">
        <f>O98</f>
        <v>forskel</v>
      </c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</row>
    <row r="110" spans="1:48" x14ac:dyDescent="0.3">
      <c r="A110" s="1"/>
      <c r="B110" s="1"/>
      <c r="C110" s="1"/>
      <c r="F110" s="1"/>
      <c r="G110" s="1"/>
      <c r="H110" s="1"/>
      <c r="M110" s="5">
        <v>311.5</v>
      </c>
      <c r="O110" s="6">
        <f>O107-M113</f>
        <v>15</v>
      </c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  <c r="AT110" s="37"/>
      <c r="AU110" s="37"/>
      <c r="AV110" s="37"/>
    </row>
    <row r="111" spans="1:48" x14ac:dyDescent="0.3">
      <c r="A111" s="1"/>
      <c r="B111" s="1"/>
      <c r="C111" s="1"/>
      <c r="F111" s="1"/>
      <c r="G111" s="1"/>
      <c r="H111" s="1"/>
      <c r="M111" s="5"/>
      <c r="O111" s="6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</row>
    <row r="112" spans="1:48" x14ac:dyDescent="0.3">
      <c r="M112" s="5" t="s">
        <v>7</v>
      </c>
      <c r="O112" s="6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</row>
    <row r="113" spans="1:48" ht="15" thickBot="1" x14ac:dyDescent="0.35">
      <c r="M113" s="7">
        <v>600</v>
      </c>
      <c r="N113" s="8"/>
      <c r="O113" s="9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</row>
    <row r="114" spans="1:48" x14ac:dyDescent="0.3"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</row>
    <row r="115" spans="1:48" x14ac:dyDescent="0.3">
      <c r="A115" s="36" t="s">
        <v>52</v>
      </c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</row>
    <row r="116" spans="1:48" x14ac:dyDescent="0.3"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</row>
    <row r="117" spans="1:48" ht="28.8" x14ac:dyDescent="0.3">
      <c r="A117" s="47" t="s">
        <v>16</v>
      </c>
      <c r="B117" s="47" t="s">
        <v>12</v>
      </c>
      <c r="C117" s="47" t="s">
        <v>13</v>
      </c>
      <c r="I117" t="s">
        <v>17</v>
      </c>
      <c r="J117" t="s">
        <v>14</v>
      </c>
      <c r="K117" t="s">
        <v>13</v>
      </c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</row>
    <row r="118" spans="1:48" x14ac:dyDescent="0.3">
      <c r="A118" s="1" t="s">
        <v>1</v>
      </c>
      <c r="B118" s="1" t="s">
        <v>2</v>
      </c>
      <c r="C118" s="1" t="s">
        <v>0</v>
      </c>
      <c r="E118" s="1" t="s">
        <v>1</v>
      </c>
      <c r="F118" s="1" t="s">
        <v>2</v>
      </c>
      <c r="G118" s="1" t="s">
        <v>3</v>
      </c>
      <c r="I118" s="1" t="s">
        <v>1</v>
      </c>
      <c r="J118" s="1" t="s">
        <v>2</v>
      </c>
      <c r="K118" s="1" t="s">
        <v>0</v>
      </c>
      <c r="M118" s="1" t="s">
        <v>1</v>
      </c>
      <c r="N118" s="1" t="s">
        <v>2</v>
      </c>
      <c r="O118" s="1" t="s">
        <v>3</v>
      </c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</row>
    <row r="119" spans="1:48" x14ac:dyDescent="0.3">
      <c r="A119" s="10">
        <v>35.5</v>
      </c>
      <c r="B119" s="1">
        <v>3517</v>
      </c>
      <c r="C119" s="1">
        <v>5.05</v>
      </c>
      <c r="E119" s="1">
        <v>32.5</v>
      </c>
      <c r="F119" s="1">
        <v>3420</v>
      </c>
      <c r="G119" s="1">
        <v>2.95</v>
      </c>
      <c r="I119" s="10">
        <v>25</v>
      </c>
      <c r="J119" s="1">
        <v>3150</v>
      </c>
      <c r="K119" s="1">
        <v>4.5</v>
      </c>
      <c r="M119" s="1">
        <v>29.5</v>
      </c>
      <c r="N119" s="1">
        <v>3230</v>
      </c>
      <c r="O119" s="1">
        <v>2.7</v>
      </c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</row>
    <row r="120" spans="1:48" x14ac:dyDescent="0.3">
      <c r="A120" s="10">
        <v>31.8</v>
      </c>
      <c r="B120" s="1">
        <v>3412</v>
      </c>
      <c r="C120" s="1">
        <v>4.9000000000000004</v>
      </c>
      <c r="E120" s="1">
        <v>29.5</v>
      </c>
      <c r="F120" s="1">
        <v>3340</v>
      </c>
      <c r="G120" s="1">
        <v>2.8</v>
      </c>
      <c r="I120" s="10">
        <v>23.5</v>
      </c>
      <c r="J120" s="1">
        <v>3070</v>
      </c>
      <c r="K120" s="1">
        <v>4.3</v>
      </c>
      <c r="M120" s="1">
        <v>27</v>
      </c>
      <c r="N120" s="1">
        <v>3100</v>
      </c>
      <c r="O120" s="1">
        <v>2.5</v>
      </c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  <c r="AT120" s="37"/>
      <c r="AU120" s="37"/>
      <c r="AV120" s="37"/>
    </row>
    <row r="121" spans="1:48" x14ac:dyDescent="0.3">
      <c r="A121" s="10">
        <v>29</v>
      </c>
      <c r="B121" s="1">
        <v>3310</v>
      </c>
      <c r="C121" s="1">
        <v>4.7300000000000004</v>
      </c>
      <c r="E121" s="1">
        <v>27</v>
      </c>
      <c r="F121" s="1">
        <v>3220</v>
      </c>
      <c r="G121" s="1">
        <v>2.7</v>
      </c>
      <c r="I121" s="10">
        <v>22.5</v>
      </c>
      <c r="J121" s="1">
        <v>3000</v>
      </c>
      <c r="K121" s="1">
        <v>4.2</v>
      </c>
      <c r="M121" s="1">
        <v>26</v>
      </c>
      <c r="N121" s="1">
        <v>3050</v>
      </c>
      <c r="O121" s="1">
        <v>2.4500000000000002</v>
      </c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</row>
    <row r="122" spans="1:48" x14ac:dyDescent="0.3">
      <c r="A122" s="1" t="s">
        <v>1</v>
      </c>
      <c r="B122" s="1" t="s">
        <v>2</v>
      </c>
      <c r="C122" s="1" t="s">
        <v>3</v>
      </c>
      <c r="E122" s="1"/>
      <c r="F122" s="1"/>
      <c r="G122" s="1"/>
      <c r="I122" s="10"/>
      <c r="J122" s="1"/>
      <c r="K122" s="1"/>
      <c r="M122" s="1"/>
      <c r="N122" s="1"/>
      <c r="O122" s="1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</row>
    <row r="123" spans="1:48" x14ac:dyDescent="0.3">
      <c r="A123" s="1">
        <v>32.5</v>
      </c>
      <c r="B123" s="1">
        <v>3420</v>
      </c>
      <c r="C123" s="1">
        <v>2.95</v>
      </c>
      <c r="E123" s="1"/>
      <c r="F123" s="1"/>
      <c r="G123" s="1"/>
      <c r="I123" s="10"/>
      <c r="J123" s="1"/>
      <c r="K123" s="1"/>
      <c r="M123" s="1"/>
      <c r="N123" s="1"/>
      <c r="O123" s="1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</row>
    <row r="124" spans="1:48" x14ac:dyDescent="0.3">
      <c r="A124" s="1">
        <v>29.5</v>
      </c>
      <c r="B124" s="1">
        <v>3340</v>
      </c>
      <c r="C124" s="1">
        <v>2.8</v>
      </c>
      <c r="E124" s="1"/>
      <c r="F124" s="1"/>
      <c r="G124" s="1"/>
      <c r="I124" s="10"/>
      <c r="J124" s="1"/>
      <c r="K124" s="1"/>
      <c r="M124" s="1"/>
      <c r="N124" s="1"/>
      <c r="O124" s="1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</row>
    <row r="125" spans="1:48" x14ac:dyDescent="0.3">
      <c r="A125" s="1">
        <v>27</v>
      </c>
      <c r="B125" s="1">
        <v>3220</v>
      </c>
      <c r="C125" s="1">
        <v>2.7</v>
      </c>
      <c r="D125" t="e" cm="1">
        <f t="array" ref="D125">line</f>
        <v>#NAME?</v>
      </c>
      <c r="E125" s="1"/>
      <c r="F125" s="1"/>
      <c r="G125" s="1"/>
      <c r="I125" s="10"/>
      <c r="J125" s="1"/>
      <c r="K125" s="1"/>
      <c r="M125" s="1"/>
      <c r="N125" s="1"/>
      <c r="O125" s="1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</row>
    <row r="126" spans="1:48" x14ac:dyDescent="0.3">
      <c r="A126" s="10"/>
      <c r="B126" s="1"/>
      <c r="C126" s="1"/>
      <c r="E126" s="1"/>
      <c r="F126" s="1"/>
      <c r="G126" s="1"/>
      <c r="I126" s="10"/>
      <c r="J126" s="1"/>
      <c r="K126" s="1"/>
      <c r="M126" s="1"/>
      <c r="N126" s="1"/>
      <c r="O126" s="1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</row>
    <row r="127" spans="1:48" x14ac:dyDescent="0.3">
      <c r="A127" s="10"/>
      <c r="B127" s="1"/>
      <c r="C127" s="1"/>
      <c r="E127" s="1"/>
      <c r="F127" s="1"/>
      <c r="G127" s="1"/>
      <c r="I127" s="10"/>
      <c r="J127" s="1"/>
      <c r="K127" s="1"/>
      <c r="M127" s="1"/>
      <c r="N127" s="1"/>
      <c r="O127" s="1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</row>
    <row r="128" spans="1:48" x14ac:dyDescent="0.3">
      <c r="A128" s="10"/>
      <c r="B128" s="1"/>
      <c r="C128" s="1"/>
      <c r="E128" s="1"/>
      <c r="F128" s="1"/>
      <c r="G128" s="1"/>
      <c r="I128" s="10"/>
      <c r="J128" s="1"/>
      <c r="K128" s="1"/>
      <c r="M128" s="1"/>
      <c r="N128" s="1"/>
      <c r="O128" s="1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</row>
    <row r="129" spans="1:48" x14ac:dyDescent="0.3">
      <c r="A129" s="10"/>
      <c r="B129" s="1"/>
      <c r="C129" s="1"/>
      <c r="E129" s="1"/>
      <c r="F129" s="1"/>
      <c r="G129" s="1"/>
      <c r="I129" s="10"/>
      <c r="J129" s="1"/>
      <c r="K129" s="1"/>
      <c r="M129" s="1"/>
      <c r="N129" s="1"/>
      <c r="O129" s="1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37"/>
      <c r="AV129" s="37"/>
    </row>
    <row r="130" spans="1:48" x14ac:dyDescent="0.3">
      <c r="A130" s="10"/>
      <c r="B130" s="1"/>
      <c r="C130" s="1"/>
      <c r="E130" s="1"/>
      <c r="F130" s="1"/>
      <c r="G130" s="1"/>
      <c r="I130" s="10"/>
      <c r="J130" s="1"/>
      <c r="K130" s="1"/>
      <c r="M130" s="1"/>
      <c r="N130" s="1"/>
      <c r="O130" s="1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</row>
    <row r="131" spans="1:48" x14ac:dyDescent="0.3">
      <c r="A131" s="10"/>
      <c r="B131" s="1"/>
      <c r="C131" s="1"/>
      <c r="E131" s="1"/>
      <c r="F131" s="1"/>
      <c r="G131" s="1"/>
      <c r="I131" s="10"/>
      <c r="J131" s="1"/>
      <c r="K131" s="1"/>
      <c r="M131" s="1"/>
      <c r="N131" s="1"/>
      <c r="O131" s="1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</row>
    <row r="132" spans="1:48" x14ac:dyDescent="0.3">
      <c r="A132" s="10"/>
      <c r="B132" s="1"/>
      <c r="C132" s="1"/>
      <c r="E132" s="1"/>
      <c r="F132" s="1"/>
      <c r="G132" s="1"/>
      <c r="I132" s="10"/>
      <c r="J132" s="1"/>
      <c r="K132" s="1"/>
      <c r="M132" s="1"/>
      <c r="N132" s="1"/>
      <c r="O132" s="1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  <c r="AU132" s="37"/>
      <c r="AV132" s="37"/>
    </row>
    <row r="133" spans="1:48" x14ac:dyDescent="0.3">
      <c r="A133" s="10"/>
      <c r="B133" s="1"/>
      <c r="C133" s="1"/>
      <c r="E133" s="1"/>
      <c r="F133" s="1"/>
      <c r="G133" s="1"/>
      <c r="I133" s="10"/>
      <c r="J133" s="1"/>
      <c r="K133" s="1"/>
      <c r="M133" s="1"/>
      <c r="N133" s="1"/>
      <c r="O133" s="1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  <c r="AN133" s="37"/>
      <c r="AO133" s="37"/>
      <c r="AP133" s="37"/>
      <c r="AQ133" s="37"/>
      <c r="AR133" s="37"/>
      <c r="AS133" s="37"/>
      <c r="AT133" s="37"/>
      <c r="AU133" s="37"/>
      <c r="AV133" s="37"/>
    </row>
    <row r="134" spans="1:48" x14ac:dyDescent="0.3">
      <c r="A134" s="1"/>
      <c r="B134" s="1"/>
      <c r="C134" s="1"/>
      <c r="E134" s="1"/>
      <c r="F134" s="1"/>
      <c r="G134" s="1"/>
      <c r="I134" s="1"/>
      <c r="J134" s="1"/>
      <c r="K134" s="1"/>
      <c r="M134" s="1"/>
      <c r="N134" s="1"/>
      <c r="O134" s="1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7"/>
      <c r="AO134" s="37"/>
      <c r="AP134" s="37"/>
      <c r="AQ134" s="37"/>
      <c r="AR134" s="37"/>
      <c r="AS134" s="37"/>
      <c r="AT134" s="37"/>
      <c r="AU134" s="37"/>
      <c r="AV134" s="37"/>
    </row>
    <row r="135" spans="1:48" x14ac:dyDescent="0.3">
      <c r="A135" s="1"/>
      <c r="B135" s="1"/>
      <c r="C135" s="1"/>
      <c r="E135" s="1"/>
      <c r="F135" s="1"/>
      <c r="G135" s="1"/>
      <c r="I135" s="1"/>
      <c r="J135" s="1"/>
      <c r="K135" s="1"/>
      <c r="M135" s="1"/>
      <c r="N135" s="1"/>
      <c r="O135" s="1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  <c r="AN135" s="37"/>
      <c r="AO135" s="37"/>
      <c r="AP135" s="37"/>
      <c r="AQ135" s="37"/>
      <c r="AR135" s="37"/>
      <c r="AS135" s="37"/>
      <c r="AT135" s="37"/>
      <c r="AU135" s="37"/>
      <c r="AV135" s="37"/>
    </row>
    <row r="136" spans="1:48" x14ac:dyDescent="0.3">
      <c r="A136" s="1"/>
      <c r="B136" s="1"/>
      <c r="C136" s="1"/>
      <c r="E136" s="1"/>
      <c r="F136" s="1"/>
      <c r="G136" s="1"/>
      <c r="I136" s="1"/>
      <c r="J136" s="1"/>
      <c r="K136" s="1"/>
      <c r="M136" s="1"/>
      <c r="N136" s="1"/>
      <c r="O136" s="1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  <c r="AN136" s="37"/>
      <c r="AO136" s="37"/>
      <c r="AP136" s="37"/>
      <c r="AQ136" s="37"/>
      <c r="AR136" s="37"/>
      <c r="AS136" s="37"/>
      <c r="AT136" s="37"/>
      <c r="AU136" s="37"/>
      <c r="AV136" s="37"/>
    </row>
    <row r="137" spans="1:48" x14ac:dyDescent="0.3"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  <c r="AN137" s="37"/>
      <c r="AO137" s="37"/>
      <c r="AP137" s="37"/>
      <c r="AQ137" s="37"/>
      <c r="AR137" s="37"/>
      <c r="AS137" s="37"/>
      <c r="AT137" s="37"/>
      <c r="AU137" s="37"/>
      <c r="AV137" s="37"/>
    </row>
    <row r="138" spans="1:48" x14ac:dyDescent="0.3"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</row>
    <row r="139" spans="1:48" x14ac:dyDescent="0.3"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  <c r="AN139" s="37"/>
      <c r="AO139" s="37"/>
      <c r="AP139" s="37"/>
      <c r="AQ139" s="37"/>
      <c r="AR139" s="37"/>
      <c r="AS139" s="37"/>
      <c r="AT139" s="37"/>
      <c r="AU139" s="37"/>
      <c r="AV139" s="37"/>
    </row>
    <row r="140" spans="1:48" x14ac:dyDescent="0.3">
      <c r="A140" t="s">
        <v>18</v>
      </c>
      <c r="B140" t="s">
        <v>15</v>
      </c>
      <c r="C140" t="s">
        <v>13</v>
      </c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  <c r="AN140" s="37"/>
      <c r="AO140" s="37"/>
      <c r="AP140" s="37"/>
      <c r="AQ140" s="37"/>
      <c r="AR140" s="37"/>
      <c r="AS140" s="37"/>
      <c r="AT140" s="37"/>
      <c r="AU140" s="37"/>
      <c r="AV140" s="37"/>
    </row>
    <row r="141" spans="1:48" x14ac:dyDescent="0.3">
      <c r="A141" s="1" t="s">
        <v>1</v>
      </c>
      <c r="B141" s="1" t="s">
        <v>2</v>
      </c>
      <c r="C141" s="1" t="s">
        <v>0</v>
      </c>
      <c r="E141" s="1" t="s">
        <v>1</v>
      </c>
      <c r="F141" s="1" t="s">
        <v>2</v>
      </c>
      <c r="G141" s="1" t="s">
        <v>3</v>
      </c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  <c r="AN141" s="37"/>
      <c r="AO141" s="37"/>
      <c r="AP141" s="37"/>
      <c r="AQ141" s="37"/>
      <c r="AR141" s="37"/>
      <c r="AS141" s="37"/>
      <c r="AT141" s="37"/>
      <c r="AU141" s="37"/>
      <c r="AV141" s="37"/>
    </row>
    <row r="142" spans="1:48" x14ac:dyDescent="0.3">
      <c r="A142" s="10">
        <v>22</v>
      </c>
      <c r="B142" s="1">
        <v>2800</v>
      </c>
      <c r="C142" s="1">
        <v>3.8</v>
      </c>
      <c r="E142" s="1">
        <v>18.5</v>
      </c>
      <c r="F142" s="1">
        <v>2670</v>
      </c>
      <c r="G142" s="1">
        <v>2</v>
      </c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  <c r="AK142" s="37"/>
      <c r="AL142" s="37"/>
      <c r="AM142" s="37"/>
      <c r="AN142" s="37"/>
      <c r="AO142" s="37"/>
      <c r="AP142" s="37"/>
      <c r="AQ142" s="37"/>
      <c r="AR142" s="37"/>
      <c r="AS142" s="37"/>
      <c r="AT142" s="37"/>
      <c r="AU142" s="37"/>
      <c r="AV142" s="37"/>
    </row>
    <row r="143" spans="1:48" x14ac:dyDescent="0.3">
      <c r="A143" s="10">
        <v>20.5</v>
      </c>
      <c r="B143" s="1">
        <v>2720</v>
      </c>
      <c r="C143" s="1">
        <v>3.7</v>
      </c>
      <c r="E143" s="1">
        <v>18</v>
      </c>
      <c r="F143" s="1">
        <v>2630</v>
      </c>
      <c r="G143" s="1">
        <v>1.95</v>
      </c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  <c r="AN143" s="37"/>
      <c r="AO143" s="37"/>
      <c r="AP143" s="37"/>
      <c r="AQ143" s="37"/>
      <c r="AR143" s="37"/>
      <c r="AS143" s="37"/>
      <c r="AT143" s="37"/>
      <c r="AU143" s="37"/>
      <c r="AV143" s="37"/>
    </row>
    <row r="144" spans="1:48" x14ac:dyDescent="0.3">
      <c r="A144" s="10">
        <v>19.5</v>
      </c>
      <c r="B144" s="1">
        <v>1682</v>
      </c>
      <c r="C144" s="1">
        <v>3.65</v>
      </c>
      <c r="E144" s="1">
        <v>17.5</v>
      </c>
      <c r="F144" s="1">
        <v>2600</v>
      </c>
      <c r="G144" s="1">
        <v>1.93</v>
      </c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  <c r="AN144" s="37"/>
      <c r="AO144" s="37"/>
      <c r="AP144" s="37"/>
      <c r="AQ144" s="37"/>
      <c r="AR144" s="37"/>
      <c r="AS144" s="37"/>
      <c r="AT144" s="37"/>
      <c r="AU144" s="37"/>
      <c r="AV144" s="37"/>
    </row>
    <row r="145" spans="1:48" x14ac:dyDescent="0.3">
      <c r="A145" s="10"/>
      <c r="B145" s="1"/>
      <c r="C145" s="1"/>
      <c r="E145" s="1"/>
      <c r="F145" s="1"/>
      <c r="G145" s="1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  <c r="AT145" s="37"/>
      <c r="AU145" s="37"/>
      <c r="AV145" s="37"/>
    </row>
    <row r="146" spans="1:48" x14ac:dyDescent="0.3">
      <c r="A146" s="10"/>
      <c r="B146" s="1"/>
      <c r="C146" s="1"/>
      <c r="E146" s="1"/>
      <c r="F146" s="1"/>
      <c r="G146" s="1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</row>
    <row r="147" spans="1:48" x14ac:dyDescent="0.3">
      <c r="A147" s="10"/>
      <c r="B147" s="1"/>
      <c r="C147" s="1"/>
      <c r="E147" s="1"/>
      <c r="F147" s="1"/>
      <c r="G147" s="1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  <c r="AN147" s="37"/>
      <c r="AO147" s="37"/>
      <c r="AP147" s="37"/>
      <c r="AQ147" s="37"/>
      <c r="AR147" s="37"/>
      <c r="AS147" s="37"/>
      <c r="AT147" s="37"/>
      <c r="AU147" s="37"/>
      <c r="AV147" s="37"/>
    </row>
    <row r="148" spans="1:48" x14ac:dyDescent="0.3">
      <c r="A148" s="10"/>
      <c r="B148" s="1"/>
      <c r="C148" s="1"/>
      <c r="E148" s="1"/>
      <c r="F148" s="1"/>
      <c r="G148" s="1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</row>
    <row r="149" spans="1:48" x14ac:dyDescent="0.3">
      <c r="A149" s="10"/>
      <c r="B149" s="1"/>
      <c r="C149" s="1"/>
      <c r="E149" s="1"/>
      <c r="F149" s="1"/>
      <c r="G149" s="1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  <c r="AN149" s="37"/>
      <c r="AO149" s="37"/>
      <c r="AP149" s="37"/>
      <c r="AQ149" s="37"/>
      <c r="AR149" s="37"/>
      <c r="AS149" s="37"/>
      <c r="AT149" s="37"/>
      <c r="AU149" s="37"/>
      <c r="AV149" s="37"/>
    </row>
    <row r="150" spans="1:48" x14ac:dyDescent="0.3">
      <c r="A150" s="10"/>
      <c r="B150" s="1"/>
      <c r="C150" s="1"/>
      <c r="E150" s="1"/>
      <c r="F150" s="1"/>
      <c r="G150" s="1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37"/>
      <c r="AT150" s="37"/>
      <c r="AU150" s="37"/>
      <c r="AV150" s="37"/>
    </row>
    <row r="151" spans="1:48" x14ac:dyDescent="0.3">
      <c r="A151" s="10"/>
      <c r="B151" s="1"/>
      <c r="C151" s="1"/>
      <c r="E151" s="1"/>
      <c r="F151" s="1"/>
      <c r="G151" s="1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  <c r="AN151" s="37"/>
      <c r="AO151" s="37"/>
      <c r="AP151" s="37"/>
      <c r="AQ151" s="37"/>
      <c r="AR151" s="37"/>
      <c r="AS151" s="37"/>
      <c r="AT151" s="37"/>
      <c r="AU151" s="37"/>
      <c r="AV151" s="37"/>
    </row>
    <row r="152" spans="1:48" x14ac:dyDescent="0.3">
      <c r="A152" s="10"/>
      <c r="B152" s="1"/>
      <c r="C152" s="1"/>
      <c r="E152" s="1"/>
      <c r="F152" s="1"/>
      <c r="G152" s="1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/>
      <c r="AO152" s="37"/>
      <c r="AP152" s="37"/>
      <c r="AQ152" s="37"/>
      <c r="AR152" s="37"/>
      <c r="AS152" s="37"/>
      <c r="AT152" s="37"/>
      <c r="AU152" s="37"/>
      <c r="AV152" s="37"/>
    </row>
    <row r="153" spans="1:48" x14ac:dyDescent="0.3">
      <c r="A153" s="10"/>
      <c r="B153" s="1"/>
      <c r="C153" s="1"/>
      <c r="E153" s="1"/>
      <c r="F153" s="1"/>
      <c r="G153" s="1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37"/>
      <c r="AN153" s="37"/>
      <c r="AO153" s="37"/>
      <c r="AP153" s="37"/>
      <c r="AQ153" s="37"/>
      <c r="AR153" s="37"/>
      <c r="AS153" s="37"/>
      <c r="AT153" s="37"/>
      <c r="AU153" s="37"/>
      <c r="AV153" s="37"/>
    </row>
    <row r="154" spans="1:48" x14ac:dyDescent="0.3">
      <c r="A154" s="10"/>
      <c r="B154" s="1"/>
      <c r="C154" s="1"/>
      <c r="E154" s="1"/>
      <c r="F154" s="1"/>
      <c r="G154" s="1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  <c r="AN154" s="37"/>
      <c r="AO154" s="37"/>
      <c r="AP154" s="37"/>
      <c r="AQ154" s="37"/>
      <c r="AR154" s="37"/>
      <c r="AS154" s="37"/>
      <c r="AT154" s="37"/>
      <c r="AU154" s="37"/>
      <c r="AV154" s="37"/>
    </row>
    <row r="155" spans="1:48" x14ac:dyDescent="0.3">
      <c r="A155" s="10"/>
      <c r="B155" s="1"/>
      <c r="C155" s="1"/>
      <c r="E155" s="1"/>
      <c r="F155" s="1"/>
      <c r="G155" s="1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37"/>
      <c r="AT155" s="37"/>
      <c r="AU155" s="37"/>
      <c r="AV155" s="37"/>
    </row>
    <row r="156" spans="1:48" x14ac:dyDescent="0.3">
      <c r="A156" s="10"/>
      <c r="B156" s="1"/>
      <c r="C156" s="1"/>
      <c r="E156" s="1"/>
      <c r="F156" s="1"/>
      <c r="G156" s="1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  <c r="AI156" s="37"/>
      <c r="AJ156" s="37"/>
      <c r="AK156" s="37"/>
      <c r="AL156" s="37"/>
      <c r="AM156" s="37"/>
      <c r="AN156" s="37"/>
      <c r="AO156" s="37"/>
      <c r="AP156" s="37"/>
      <c r="AQ156" s="37"/>
      <c r="AR156" s="37"/>
      <c r="AS156" s="37"/>
      <c r="AT156" s="37"/>
      <c r="AU156" s="37"/>
      <c r="AV156" s="37"/>
    </row>
    <row r="157" spans="1:48" x14ac:dyDescent="0.3">
      <c r="A157" s="1"/>
      <c r="B157" s="1"/>
      <c r="C157" s="1"/>
      <c r="E157" s="1"/>
      <c r="F157" s="1"/>
      <c r="G157" s="1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  <c r="AP157" s="37"/>
      <c r="AQ157" s="37"/>
      <c r="AR157" s="37"/>
      <c r="AS157" s="37"/>
      <c r="AT157" s="37"/>
      <c r="AU157" s="37"/>
      <c r="AV157" s="37"/>
    </row>
    <row r="158" spans="1:48" x14ac:dyDescent="0.3">
      <c r="A158" s="1"/>
      <c r="B158" s="1"/>
      <c r="C158" s="1"/>
      <c r="E158" s="1"/>
      <c r="F158" s="1"/>
      <c r="G158" s="1"/>
    </row>
    <row r="159" spans="1:48" x14ac:dyDescent="0.3">
      <c r="A159" s="1"/>
      <c r="B159" s="1"/>
      <c r="C159" s="1"/>
      <c r="E159" s="1"/>
      <c r="F159" s="1"/>
      <c r="G159" s="1"/>
    </row>
  </sheetData>
  <mergeCells count="1">
    <mergeCell ref="BF42:BH45"/>
  </mergeCells>
  <pageMargins left="0.7" right="0.7" top="0.75" bottom="0.75" header="0.3" footer="0.3"/>
  <pageSetup paperSize="9" orientation="portrait" r:id="rId1"/>
  <colBreaks count="1" manualBreakCount="1">
    <brk id="55" max="158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13F64-D884-4A04-B018-0BE86E73A64E}">
  <dimension ref="A1"/>
  <sheetViews>
    <sheetView workbookViewId="0"/>
  </sheetViews>
  <sheetFormatPr defaultRowHeight="14.4" x14ac:dyDescent="0.3"/>
  <sheetData>
    <row r="1" spans="1:1" x14ac:dyDescent="0.3">
      <c r="A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Målinger</vt:lpstr>
      <vt:lpstr>Beregninger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Mortensen</dc:creator>
  <cp:lastModifiedBy>Oliver Booth</cp:lastModifiedBy>
  <dcterms:created xsi:type="dcterms:W3CDTF">2015-06-05T18:19:34Z</dcterms:created>
  <dcterms:modified xsi:type="dcterms:W3CDTF">2023-01-12T10:56:44Z</dcterms:modified>
</cp:coreProperties>
</file>