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onal_000\Desktop\all_is\TU\year_4\Thesis\models, data etc\Lab data\"/>
    </mc:Choice>
  </mc:AlternateContent>
  <xr:revisionPtr revIDLastSave="0" documentId="13_ncr:1_{140334F1-86DC-4F9E-AECF-CDF52B0E87E4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Composition" sheetId="1" r:id="rId1"/>
    <sheet name="Chemical" sheetId="2" r:id="rId2"/>
    <sheet name="VSSTSS" sheetId="3" r:id="rId3"/>
    <sheet name="P" sheetId="4" r:id="rId4"/>
    <sheet name="Gas composition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9" i="3" l="1"/>
  <c r="Q39" i="3" s="1"/>
  <c r="Q33" i="3"/>
  <c r="Q21" i="3"/>
  <c r="Q27" i="3"/>
  <c r="Q15" i="3"/>
  <c r="G6" i="5"/>
  <c r="H6" i="5"/>
  <c r="I6" i="5"/>
  <c r="J6" i="5"/>
  <c r="K6" i="5"/>
  <c r="L6" i="5"/>
  <c r="G9" i="5"/>
  <c r="H9" i="5"/>
  <c r="I9" i="5"/>
  <c r="J9" i="5"/>
  <c r="K9" i="5"/>
  <c r="L9" i="5"/>
  <c r="G12" i="5"/>
  <c r="H12" i="5"/>
  <c r="I12" i="5"/>
  <c r="J12" i="5"/>
  <c r="K12" i="5"/>
  <c r="L12" i="5"/>
  <c r="G15" i="5"/>
  <c r="H15" i="5"/>
  <c r="I15" i="5"/>
  <c r="J15" i="5"/>
  <c r="K15" i="5"/>
  <c r="L15" i="5"/>
  <c r="L3" i="5"/>
  <c r="K3" i="5"/>
  <c r="J3" i="5"/>
  <c r="I3" i="5"/>
  <c r="H3" i="5"/>
  <c r="G3" i="5"/>
  <c r="J31" i="2"/>
  <c r="K31" i="2"/>
  <c r="J34" i="2"/>
  <c r="K34" i="2"/>
  <c r="J37" i="2"/>
  <c r="K37" i="2"/>
  <c r="J40" i="2"/>
  <c r="K40" i="2"/>
  <c r="K28" i="2"/>
  <c r="J28" i="2"/>
  <c r="N7" i="2"/>
  <c r="N8" i="2"/>
  <c r="N6" i="2"/>
  <c r="N13" i="2"/>
  <c r="N14" i="2"/>
  <c r="N12" i="2"/>
  <c r="H35" i="4"/>
  <c r="P35" i="4" s="1"/>
  <c r="Q35" i="4"/>
  <c r="R26" i="4" s="1"/>
  <c r="S26" i="4" s="1"/>
  <c r="S25" i="4"/>
  <c r="S27" i="4"/>
  <c r="S28" i="4"/>
  <c r="S24" i="4"/>
  <c r="Q37" i="4"/>
  <c r="R28" i="4" s="1"/>
  <c r="Q36" i="4"/>
  <c r="R27" i="4" s="1"/>
  <c r="Q34" i="4"/>
  <c r="Q33" i="4"/>
  <c r="R24" i="4" s="1"/>
  <c r="R25" i="4"/>
  <c r="P37" i="4"/>
  <c r="P36" i="4"/>
  <c r="P34" i="4"/>
  <c r="P33" i="4"/>
  <c r="I33" i="4"/>
  <c r="J33" i="4"/>
  <c r="K33" i="4"/>
  <c r="L33" i="4"/>
  <c r="M33" i="4"/>
  <c r="N33" i="4"/>
  <c r="I34" i="4"/>
  <c r="J34" i="4"/>
  <c r="K34" i="4"/>
  <c r="L34" i="4"/>
  <c r="M34" i="4"/>
  <c r="N34" i="4"/>
  <c r="I35" i="4"/>
  <c r="J35" i="4"/>
  <c r="K35" i="4"/>
  <c r="L35" i="4"/>
  <c r="M35" i="4"/>
  <c r="N35" i="4"/>
  <c r="I36" i="4"/>
  <c r="J36" i="4"/>
  <c r="K36" i="4"/>
  <c r="L36" i="4"/>
  <c r="M36" i="4"/>
  <c r="I37" i="4"/>
  <c r="J37" i="4"/>
  <c r="K37" i="4"/>
  <c r="L37" i="4"/>
  <c r="M37" i="4"/>
  <c r="H37" i="4"/>
  <c r="H36" i="4"/>
  <c r="H34" i="4"/>
  <c r="H33" i="4"/>
  <c r="D33" i="4"/>
  <c r="E33" i="4"/>
  <c r="F33" i="4"/>
  <c r="G33" i="4"/>
  <c r="D34" i="4"/>
  <c r="E34" i="4"/>
  <c r="F34" i="4"/>
  <c r="G34" i="4"/>
  <c r="D35" i="4"/>
  <c r="E35" i="4"/>
  <c r="F35" i="4"/>
  <c r="G35" i="4"/>
  <c r="D36" i="4"/>
  <c r="E36" i="4"/>
  <c r="F36" i="4"/>
  <c r="G36" i="4"/>
  <c r="D37" i="4"/>
  <c r="E37" i="4"/>
  <c r="F37" i="4"/>
  <c r="G37" i="4"/>
  <c r="C37" i="4"/>
  <c r="C36" i="4"/>
  <c r="C35" i="4"/>
  <c r="C34" i="4"/>
  <c r="C33" i="4"/>
  <c r="N38" i="4"/>
  <c r="M38" i="4"/>
  <c r="L38" i="4"/>
  <c r="K38" i="4"/>
  <c r="J38" i="4"/>
  <c r="I38" i="4"/>
  <c r="H38" i="4"/>
  <c r="G38" i="4"/>
  <c r="F38" i="4"/>
  <c r="E38" i="4"/>
  <c r="D38" i="4"/>
  <c r="C38" i="4"/>
  <c r="N32" i="4"/>
  <c r="M32" i="4"/>
  <c r="L32" i="4"/>
  <c r="K32" i="4"/>
  <c r="J32" i="4"/>
  <c r="I32" i="4"/>
  <c r="H32" i="4"/>
  <c r="G32" i="4"/>
  <c r="F32" i="4"/>
  <c r="E32" i="4"/>
  <c r="D32" i="4"/>
  <c r="D43" i="3"/>
  <c r="D44" i="3"/>
  <c r="D45" i="3"/>
  <c r="D46" i="3"/>
  <c r="D42" i="3"/>
  <c r="R21" i="3"/>
  <c r="R27" i="3"/>
  <c r="R33" i="3"/>
  <c r="R39" i="3"/>
  <c r="R15" i="3"/>
  <c r="Q28" i="4"/>
  <c r="Q27" i="4"/>
  <c r="Q25" i="4"/>
  <c r="Q26" i="4"/>
  <c r="Q24" i="4"/>
  <c r="P24" i="4"/>
  <c r="P28" i="4"/>
  <c r="P27" i="4"/>
  <c r="P25" i="4"/>
  <c r="P26" i="4"/>
  <c r="D41" i="4" l="1"/>
  <c r="C28" i="4"/>
  <c r="U4" i="5"/>
  <c r="U5" i="5"/>
  <c r="U6" i="5"/>
  <c r="U7" i="5"/>
  <c r="U8" i="5"/>
  <c r="U9" i="5"/>
  <c r="U10" i="5"/>
  <c r="U11" i="5"/>
  <c r="U3" i="5"/>
  <c r="T5" i="5"/>
  <c r="V5" i="5" s="1"/>
  <c r="T6" i="5"/>
  <c r="V6" i="5" s="1"/>
  <c r="T7" i="5"/>
  <c r="V7" i="5" s="1"/>
  <c r="T13" i="5"/>
  <c r="V13" i="5" s="1"/>
  <c r="T14" i="5"/>
  <c r="V14" i="5" s="1"/>
  <c r="T15" i="5"/>
  <c r="V15" i="5" s="1"/>
  <c r="O4" i="5"/>
  <c r="Q4" i="5" s="1"/>
  <c r="O5" i="5"/>
  <c r="Q5" i="5" s="1"/>
  <c r="O6" i="5"/>
  <c r="Q6" i="5" s="1"/>
  <c r="O12" i="5"/>
  <c r="Q12" i="5" s="1"/>
  <c r="O13" i="5"/>
  <c r="Q13" i="5" s="1"/>
  <c r="O14" i="5"/>
  <c r="Q14" i="5" s="1"/>
  <c r="E23" i="4"/>
  <c r="F23" i="4"/>
  <c r="G23" i="4"/>
  <c r="H23" i="4"/>
  <c r="I23" i="4"/>
  <c r="J23" i="4"/>
  <c r="K23" i="4"/>
  <c r="L23" i="4"/>
  <c r="M23" i="4"/>
  <c r="N23" i="4"/>
  <c r="D23" i="4"/>
  <c r="I29" i="4"/>
  <c r="J29" i="4"/>
  <c r="K29" i="4"/>
  <c r="L29" i="4"/>
  <c r="M29" i="4"/>
  <c r="N29" i="4"/>
  <c r="H29" i="4"/>
  <c r="D29" i="4"/>
  <c r="E29" i="4"/>
  <c r="F29" i="4"/>
  <c r="G29" i="4"/>
  <c r="C29" i="4"/>
  <c r="E14" i="5"/>
  <c r="K7" i="2"/>
  <c r="P7" i="5" s="1"/>
  <c r="K8" i="2"/>
  <c r="K9" i="2"/>
  <c r="K10" i="2"/>
  <c r="K11" i="2"/>
  <c r="P11" i="5" s="1"/>
  <c r="K12" i="2"/>
  <c r="K13" i="2"/>
  <c r="K14" i="2"/>
  <c r="P14" i="5" s="1"/>
  <c r="K15" i="2"/>
  <c r="P15" i="5" s="1"/>
  <c r="K16" i="2"/>
  <c r="K17" i="2"/>
  <c r="P4" i="5"/>
  <c r="P5" i="5"/>
  <c r="P6" i="5"/>
  <c r="P8" i="5"/>
  <c r="P9" i="5"/>
  <c r="P10" i="5"/>
  <c r="P12" i="5"/>
  <c r="P13" i="5"/>
  <c r="P16" i="5"/>
  <c r="P17" i="5"/>
  <c r="P3" i="5"/>
  <c r="N4" i="5"/>
  <c r="S4" i="5" s="1"/>
  <c r="N5" i="5"/>
  <c r="S5" i="5" s="1"/>
  <c r="N6" i="5"/>
  <c r="S6" i="5" s="1"/>
  <c r="N7" i="5"/>
  <c r="S7" i="5" s="1"/>
  <c r="N8" i="5"/>
  <c r="S8" i="5" s="1"/>
  <c r="N9" i="5"/>
  <c r="S9" i="5" s="1"/>
  <c r="N10" i="5"/>
  <c r="T10" i="5" s="1"/>
  <c r="N11" i="5"/>
  <c r="T11" i="5" s="1"/>
  <c r="N12" i="5"/>
  <c r="S12" i="5" s="1"/>
  <c r="N13" i="5"/>
  <c r="S13" i="5" s="1"/>
  <c r="N14" i="5"/>
  <c r="S14" i="5" s="1"/>
  <c r="N15" i="5"/>
  <c r="S15" i="5" s="1"/>
  <c r="N16" i="5"/>
  <c r="S16" i="5" s="1"/>
  <c r="N17" i="5"/>
  <c r="S17" i="5" s="1"/>
  <c r="N3" i="5"/>
  <c r="T3" i="5" s="1"/>
  <c r="V3" i="5" s="1"/>
  <c r="B46" i="5"/>
  <c r="F46" i="5" s="1"/>
  <c r="B45" i="5"/>
  <c r="F45" i="5" s="1"/>
  <c r="B44" i="5"/>
  <c r="E44" i="5" s="1"/>
  <c r="V11" i="5" l="1"/>
  <c r="V10" i="5"/>
  <c r="O11" i="5"/>
  <c r="Q11" i="5" s="1"/>
  <c r="O3" i="5"/>
  <c r="Q3" i="5" s="1"/>
  <c r="T12" i="5"/>
  <c r="V12" i="5" s="1"/>
  <c r="T4" i="5"/>
  <c r="V4" i="5" s="1"/>
  <c r="O10" i="5"/>
  <c r="Q10" i="5" s="1"/>
  <c r="S3" i="5"/>
  <c r="O17" i="5"/>
  <c r="Q17" i="5" s="1"/>
  <c r="O9" i="5"/>
  <c r="Q9" i="5" s="1"/>
  <c r="O16" i="5"/>
  <c r="Q16" i="5" s="1"/>
  <c r="O8" i="5"/>
  <c r="Q8" i="5" s="1"/>
  <c r="T17" i="5"/>
  <c r="V17" i="5" s="1"/>
  <c r="T9" i="5"/>
  <c r="V9" i="5" s="1"/>
  <c r="O15" i="5"/>
  <c r="Q15" i="5" s="1"/>
  <c r="O7" i="5"/>
  <c r="Q7" i="5" s="1"/>
  <c r="T16" i="5"/>
  <c r="V16" i="5" s="1"/>
  <c r="T8" i="5"/>
  <c r="V8" i="5" s="1"/>
  <c r="D44" i="5"/>
  <c r="H44" i="5" s="1"/>
  <c r="F44" i="5"/>
  <c r="S11" i="5"/>
  <c r="S10" i="5"/>
  <c r="D46" i="5"/>
  <c r="H46" i="5" s="1"/>
  <c r="E46" i="5"/>
  <c r="D45" i="5"/>
  <c r="H45" i="5" s="1"/>
  <c r="E45" i="5"/>
  <c r="H49" i="5" l="1"/>
  <c r="H48" i="5"/>
  <c r="M15" i="2" l="1"/>
  <c r="M12" i="2"/>
  <c r="M9" i="2"/>
  <c r="M6" i="2"/>
  <c r="M3" i="2"/>
  <c r="F48" i="4" l="1"/>
  <c r="G48" i="4"/>
  <c r="H48" i="4"/>
  <c r="I48" i="4"/>
  <c r="J48" i="4"/>
  <c r="K48" i="4"/>
  <c r="L48" i="4"/>
  <c r="M48" i="4"/>
  <c r="N48" i="4"/>
  <c r="E48" i="4"/>
  <c r="D48" i="4"/>
  <c r="C74" i="4"/>
  <c r="D42" i="4"/>
  <c r="D45" i="4"/>
  <c r="D46" i="4"/>
  <c r="E40" i="4"/>
  <c r="F40" i="4"/>
  <c r="F54" i="4" s="1"/>
  <c r="G40" i="4"/>
  <c r="G54" i="4" s="1"/>
  <c r="H40" i="4"/>
  <c r="I40" i="4"/>
  <c r="I54" i="4" s="1"/>
  <c r="J40" i="4"/>
  <c r="J54" i="4" s="1"/>
  <c r="K40" i="4"/>
  <c r="K54" i="4" s="1"/>
  <c r="L40" i="4"/>
  <c r="L54" i="4" s="1"/>
  <c r="M40" i="4"/>
  <c r="M54" i="4" s="1"/>
  <c r="N40" i="4"/>
  <c r="D40" i="4"/>
  <c r="C16" i="2"/>
  <c r="C17" i="2"/>
  <c r="C15" i="2"/>
  <c r="L6" i="2"/>
  <c r="L9" i="2"/>
  <c r="L12" i="2"/>
  <c r="L3" i="2"/>
  <c r="C23" i="2"/>
  <c r="C24" i="2"/>
  <c r="C19" i="2"/>
  <c r="C3" i="2"/>
  <c r="C4" i="2"/>
  <c r="K4" i="2" s="1"/>
  <c r="C5" i="2"/>
  <c r="K5" i="2" s="1"/>
  <c r="K3" i="2"/>
  <c r="P12" i="3"/>
  <c r="P14" i="3"/>
  <c r="P16" i="3"/>
  <c r="P18" i="3"/>
  <c r="P20" i="3"/>
  <c r="P22" i="3"/>
  <c r="P24" i="3"/>
  <c r="P26" i="3"/>
  <c r="P30" i="3"/>
  <c r="P32" i="3"/>
  <c r="P34" i="3"/>
  <c r="P36" i="3"/>
  <c r="P38" i="3"/>
  <c r="P10" i="3"/>
  <c r="K6" i="2"/>
  <c r="N33" i="3"/>
  <c r="K29" i="3"/>
  <c r="J11" i="3"/>
  <c r="N15" i="3" s="1"/>
  <c r="F41" i="4"/>
  <c r="F42" i="4"/>
  <c r="F43" i="4"/>
  <c r="F44" i="4"/>
  <c r="F52" i="4" s="1"/>
  <c r="F45" i="4"/>
  <c r="F53" i="4" s="1"/>
  <c r="F46" i="4"/>
  <c r="E43" i="4"/>
  <c r="E51" i="4" s="1"/>
  <c r="E45" i="4"/>
  <c r="E53" i="4" s="1"/>
  <c r="F61" i="4" s="1"/>
  <c r="E41" i="4"/>
  <c r="E42" i="4"/>
  <c r="I46" i="4"/>
  <c r="J46" i="4"/>
  <c r="K46" i="4"/>
  <c r="L46" i="4"/>
  <c r="M46" i="4"/>
  <c r="N46" i="4"/>
  <c r="H46" i="4"/>
  <c r="E46" i="4"/>
  <c r="G46" i="4"/>
  <c r="I41" i="4"/>
  <c r="J41" i="4"/>
  <c r="K41" i="4"/>
  <c r="K49" i="4" s="1"/>
  <c r="L41" i="4"/>
  <c r="L49" i="4" s="1"/>
  <c r="M41" i="4"/>
  <c r="M49" i="4" s="1"/>
  <c r="M57" i="4" s="1"/>
  <c r="N41" i="4"/>
  <c r="I42" i="4"/>
  <c r="J42" i="4"/>
  <c r="K42" i="4"/>
  <c r="K50" i="4" s="1"/>
  <c r="L42" i="4"/>
  <c r="L50" i="4" s="1"/>
  <c r="M42" i="4"/>
  <c r="M50" i="4" s="1"/>
  <c r="N42" i="4"/>
  <c r="I43" i="4"/>
  <c r="J43" i="4"/>
  <c r="K43" i="4"/>
  <c r="K51" i="4" s="1"/>
  <c r="L43" i="4"/>
  <c r="L51" i="4" s="1"/>
  <c r="M43" i="4"/>
  <c r="M51" i="4" s="1"/>
  <c r="N43" i="4"/>
  <c r="N51" i="4" s="1"/>
  <c r="I44" i="4"/>
  <c r="J44" i="4"/>
  <c r="K44" i="4"/>
  <c r="K52" i="4" s="1"/>
  <c r="L44" i="4"/>
  <c r="L52" i="4" s="1"/>
  <c r="M44" i="4"/>
  <c r="M52" i="4" s="1"/>
  <c r="I45" i="4"/>
  <c r="J45" i="4"/>
  <c r="K45" i="4"/>
  <c r="K53" i="4" s="1"/>
  <c r="L45" i="4"/>
  <c r="L53" i="4" s="1"/>
  <c r="M61" i="4" s="1"/>
  <c r="M45" i="4"/>
  <c r="M53" i="4" s="1"/>
  <c r="G41" i="4"/>
  <c r="G42" i="4"/>
  <c r="G43" i="4"/>
  <c r="G44" i="4"/>
  <c r="G45" i="4"/>
  <c r="D24" i="4"/>
  <c r="I27" i="4"/>
  <c r="J27" i="4"/>
  <c r="K27" i="4"/>
  <c r="L27" i="4"/>
  <c r="M27" i="4"/>
  <c r="H27" i="4"/>
  <c r="I28" i="4"/>
  <c r="J28" i="4"/>
  <c r="K28" i="4"/>
  <c r="L28" i="4"/>
  <c r="M28" i="4"/>
  <c r="H28" i="4"/>
  <c r="D28" i="4"/>
  <c r="E28" i="4"/>
  <c r="F28" i="4"/>
  <c r="G28" i="4"/>
  <c r="H26" i="4"/>
  <c r="H25" i="4"/>
  <c r="H24" i="4"/>
  <c r="D27" i="4"/>
  <c r="E27" i="4"/>
  <c r="F27" i="4"/>
  <c r="G27" i="4"/>
  <c r="C27" i="4"/>
  <c r="C26" i="4"/>
  <c r="C25" i="4"/>
  <c r="I24" i="4"/>
  <c r="J24" i="4"/>
  <c r="K24" i="4"/>
  <c r="L24" i="4"/>
  <c r="M24" i="4"/>
  <c r="N24" i="4"/>
  <c r="I25" i="4"/>
  <c r="J25" i="4"/>
  <c r="K25" i="4"/>
  <c r="L25" i="4"/>
  <c r="M25" i="4"/>
  <c r="N25" i="4"/>
  <c r="I26" i="4"/>
  <c r="J26" i="4"/>
  <c r="K26" i="4"/>
  <c r="L26" i="4"/>
  <c r="M26" i="4"/>
  <c r="N26" i="4"/>
  <c r="E24" i="4"/>
  <c r="F24" i="4"/>
  <c r="G24" i="4"/>
  <c r="D25" i="4"/>
  <c r="E25" i="4"/>
  <c r="F25" i="4"/>
  <c r="G25" i="4"/>
  <c r="D26" i="4"/>
  <c r="E26" i="4"/>
  <c r="F26" i="4"/>
  <c r="G26" i="4"/>
  <c r="C24" i="4"/>
  <c r="L21" i="3"/>
  <c r="L15" i="3"/>
  <c r="M21" i="3"/>
  <c r="N21" i="3"/>
  <c r="O21" i="3"/>
  <c r="L27" i="3"/>
  <c r="M27" i="3"/>
  <c r="N27" i="3"/>
  <c r="O27" i="3"/>
  <c r="L33" i="3"/>
  <c r="M33" i="3"/>
  <c r="L39" i="3"/>
  <c r="M39" i="3"/>
  <c r="O39" i="3"/>
  <c r="O15" i="3"/>
  <c r="M15" i="3"/>
  <c r="I13" i="3"/>
  <c r="J13" i="3"/>
  <c r="K13" i="3"/>
  <c r="I15" i="3"/>
  <c r="J15" i="3"/>
  <c r="K15" i="3"/>
  <c r="I17" i="3"/>
  <c r="J17" i="3"/>
  <c r="K17" i="3"/>
  <c r="I19" i="3"/>
  <c r="J19" i="3"/>
  <c r="K19" i="3"/>
  <c r="I21" i="3"/>
  <c r="J21" i="3"/>
  <c r="K21" i="3"/>
  <c r="I23" i="3"/>
  <c r="J23" i="3"/>
  <c r="K23" i="3"/>
  <c r="I25" i="3"/>
  <c r="J25" i="3"/>
  <c r="K25" i="3"/>
  <c r="I27" i="3"/>
  <c r="J27" i="3"/>
  <c r="K27" i="3"/>
  <c r="I29" i="3"/>
  <c r="I31" i="3"/>
  <c r="J31" i="3"/>
  <c r="K31" i="3"/>
  <c r="I33" i="3"/>
  <c r="J33" i="3"/>
  <c r="K33" i="3"/>
  <c r="I35" i="3"/>
  <c r="J35" i="3"/>
  <c r="K35" i="3"/>
  <c r="I37" i="3"/>
  <c r="J37" i="3"/>
  <c r="K37" i="3"/>
  <c r="I39" i="3"/>
  <c r="J39" i="3"/>
  <c r="K39" i="3"/>
  <c r="K11" i="3"/>
  <c r="I11" i="3"/>
  <c r="H13" i="3"/>
  <c r="H15" i="3"/>
  <c r="H17" i="3"/>
  <c r="H19" i="3"/>
  <c r="H21" i="3"/>
  <c r="H23" i="3"/>
  <c r="H25" i="3"/>
  <c r="H27" i="3"/>
  <c r="H29" i="3"/>
  <c r="H31" i="3"/>
  <c r="H33" i="3"/>
  <c r="H35" i="3"/>
  <c r="H37" i="3"/>
  <c r="H39" i="3"/>
  <c r="H11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10" i="3"/>
  <c r="C17" i="5"/>
  <c r="D17" i="5" s="1"/>
  <c r="C16" i="5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D4" i="5"/>
  <c r="D16" i="5"/>
  <c r="D3" i="5"/>
  <c r="M62" i="4" l="1"/>
  <c r="L61" i="4"/>
  <c r="N59" i="4"/>
  <c r="N50" i="4"/>
  <c r="N58" i="4" s="1"/>
  <c r="N49" i="4"/>
  <c r="N57" i="4" s="1"/>
  <c r="I51" i="4"/>
  <c r="G62" i="4"/>
  <c r="E50" i="4"/>
  <c r="E49" i="4"/>
  <c r="F51" i="4"/>
  <c r="F59" i="4" s="1"/>
  <c r="F49" i="4"/>
  <c r="G49" i="4"/>
  <c r="F50" i="4"/>
  <c r="F58" i="4" s="1"/>
  <c r="I53" i="4"/>
  <c r="J61" i="4" s="1"/>
  <c r="L58" i="4"/>
  <c r="J49" i="4"/>
  <c r="G50" i="4"/>
  <c r="J51" i="4"/>
  <c r="J62" i="4"/>
  <c r="I52" i="4"/>
  <c r="M59" i="4"/>
  <c r="I49" i="4"/>
  <c r="I50" i="4"/>
  <c r="J52" i="4"/>
  <c r="L57" i="4"/>
  <c r="D49" i="4"/>
  <c r="E57" i="4" s="1"/>
  <c r="D50" i="4"/>
  <c r="E58" i="4" s="1"/>
  <c r="H51" i="4"/>
  <c r="I59" i="4" s="1"/>
  <c r="H54" i="4"/>
  <c r="H62" i="4" s="1"/>
  <c r="H52" i="4"/>
  <c r="G53" i="4"/>
  <c r="G61" i="4" s="1"/>
  <c r="J53" i="4"/>
  <c r="K61" i="4" s="1"/>
  <c r="N53" i="4"/>
  <c r="N61" i="4" s="1"/>
  <c r="N54" i="4"/>
  <c r="N62" i="4" s="1"/>
  <c r="N52" i="4"/>
  <c r="N60" i="4" s="1"/>
  <c r="G52" i="4"/>
  <c r="G60" i="4" s="1"/>
  <c r="L59" i="4"/>
  <c r="J50" i="4"/>
  <c r="E52" i="4"/>
  <c r="F60" i="4" s="1"/>
  <c r="E54" i="4"/>
  <c r="F62" i="4" s="1"/>
  <c r="G51" i="4"/>
  <c r="K59" i="4"/>
  <c r="L62" i="4"/>
  <c r="K62" i="4"/>
  <c r="D51" i="4"/>
  <c r="E59" i="4" s="1"/>
  <c r="D52" i="4"/>
  <c r="D54" i="4"/>
  <c r="D53" i="4"/>
  <c r="E61" i="4" s="1"/>
  <c r="M58" i="4"/>
  <c r="K57" i="4"/>
  <c r="J57" i="4"/>
  <c r="M60" i="4"/>
  <c r="L60" i="4"/>
  <c r="J59" i="4"/>
  <c r="L15" i="2"/>
  <c r="O33" i="3"/>
  <c r="C4" i="5"/>
  <c r="C3" i="5"/>
  <c r="E74" i="4"/>
  <c r="E75" i="4"/>
  <c r="C75" i="4"/>
  <c r="C76" i="4"/>
  <c r="E76" i="4" s="1"/>
  <c r="C77" i="4"/>
  <c r="E77" i="4" s="1"/>
  <c r="C78" i="4"/>
  <c r="E78" i="4" s="1"/>
  <c r="C79" i="4"/>
  <c r="E79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I4" i="4"/>
  <c r="I5" i="4"/>
  <c r="I6" i="4"/>
  <c r="I7" i="4"/>
  <c r="I8" i="4"/>
  <c r="I3" i="4"/>
  <c r="I16" i="4"/>
  <c r="I17" i="4"/>
  <c r="I15" i="4"/>
  <c r="H45" i="4" s="1"/>
  <c r="H53" i="4" s="1"/>
  <c r="I61" i="4" s="1"/>
  <c r="C25" i="2"/>
  <c r="C9" i="2"/>
  <c r="C6" i="2"/>
  <c r="H19" i="2"/>
  <c r="G19" i="2"/>
  <c r="M3" i="3"/>
  <c r="E7" i="3"/>
  <c r="D7" i="3"/>
  <c r="C7" i="3"/>
  <c r="B7" i="3"/>
  <c r="E6" i="3"/>
  <c r="D6" i="3"/>
  <c r="C6" i="3"/>
  <c r="B6" i="3"/>
  <c r="G4" i="3"/>
  <c r="F4" i="3"/>
  <c r="G3" i="3"/>
  <c r="F3" i="3"/>
  <c r="G2" i="3"/>
  <c r="G7" i="3" s="1"/>
  <c r="F2" i="3"/>
  <c r="F7" i="3" s="1"/>
  <c r="J58" i="4" l="1"/>
  <c r="H61" i="4"/>
  <c r="F57" i="4"/>
  <c r="G58" i="4"/>
  <c r="I62" i="4"/>
  <c r="G57" i="4"/>
  <c r="G59" i="4"/>
  <c r="H59" i="4"/>
  <c r="E60" i="4"/>
  <c r="J60" i="4"/>
  <c r="I60" i="4"/>
  <c r="H60" i="4"/>
  <c r="E62" i="4"/>
  <c r="K60" i="4"/>
  <c r="K58" i="4"/>
  <c r="H42" i="4"/>
  <c r="H50" i="4" s="1"/>
  <c r="H41" i="4"/>
  <c r="H49" i="4" s="1"/>
  <c r="F6" i="3"/>
  <c r="I2" i="3" s="1"/>
  <c r="G6" i="3"/>
  <c r="I3" i="3" s="1"/>
  <c r="M2" i="3" s="1"/>
  <c r="H57" i="4" l="1"/>
  <c r="I57" i="4"/>
  <c r="H58" i="4"/>
  <c r="I58" i="4"/>
  <c r="C7" i="2"/>
  <c r="C8" i="2"/>
  <c r="C10" i="2"/>
  <c r="C11" i="2"/>
</calcChain>
</file>

<file path=xl/sharedStrings.xml><?xml version="1.0" encoding="utf-8"?>
<sst xmlns="http://schemas.openxmlformats.org/spreadsheetml/2006/main" count="386" uniqueCount="104">
  <si>
    <t>B1</t>
  </si>
  <si>
    <t>B2</t>
  </si>
  <si>
    <t>B3</t>
  </si>
  <si>
    <t>MR1</t>
  </si>
  <si>
    <t>MR2</t>
  </si>
  <si>
    <t>MR3</t>
  </si>
  <si>
    <t>MA1</t>
  </si>
  <si>
    <t>MA2</t>
  </si>
  <si>
    <t>MA3</t>
  </si>
  <si>
    <t>MM1</t>
  </si>
  <si>
    <t>MM2</t>
  </si>
  <si>
    <t>MM3</t>
  </si>
  <si>
    <t>F1</t>
  </si>
  <si>
    <t>F2</t>
  </si>
  <si>
    <t>F3</t>
  </si>
  <si>
    <t>MRA [g]</t>
  </si>
  <si>
    <t>demiwater [mL]</t>
  </si>
  <si>
    <t>Feed [mL]</t>
  </si>
  <si>
    <t>MAA [s]</t>
  </si>
  <si>
    <t>culture [mL]</t>
  </si>
  <si>
    <t>culture name</t>
  </si>
  <si>
    <t>innoculum</t>
  </si>
  <si>
    <t>-</t>
  </si>
  <si>
    <t>SO4 [mg/L]</t>
  </si>
  <si>
    <t>COD [mg/L]</t>
  </si>
  <si>
    <t>Fe(2&amp;3) [g/L]</t>
  </si>
  <si>
    <t>Fe(2) [g/L]</t>
  </si>
  <si>
    <t>&lt;1</t>
  </si>
  <si>
    <t>START</t>
  </si>
  <si>
    <t>P [mbar]</t>
  </si>
  <si>
    <t>Ambient</t>
  </si>
  <si>
    <t>T</t>
  </si>
  <si>
    <t>feed</t>
  </si>
  <si>
    <t>TSS</t>
  </si>
  <si>
    <t>g/L</t>
  </si>
  <si>
    <t>VSS in flask at t0</t>
  </si>
  <si>
    <t>VSS</t>
  </si>
  <si>
    <t>avr</t>
  </si>
  <si>
    <t>std</t>
  </si>
  <si>
    <t>VSS test innoculum bottle 1 (from SMA 2)</t>
  </si>
  <si>
    <t>g</t>
  </si>
  <si>
    <t>sucrose [g/L]</t>
  </si>
  <si>
    <t>acetate [g/L]</t>
  </si>
  <si>
    <t>feed solution</t>
  </si>
  <si>
    <t xml:space="preserve">aim </t>
  </si>
  <si>
    <t>real aim</t>
  </si>
  <si>
    <t>calculated</t>
  </si>
  <si>
    <t>10 ml extra</t>
  </si>
  <si>
    <t>after MAA</t>
  </si>
  <si>
    <t>V [mL]</t>
  </si>
  <si>
    <t>dP [m bar]</t>
  </si>
  <si>
    <t>dV [mL]</t>
  </si>
  <si>
    <t>END</t>
  </si>
  <si>
    <t>Volume [mL]</t>
  </si>
  <si>
    <t>H2S [A]</t>
  </si>
  <si>
    <t>H2S [%]</t>
  </si>
  <si>
    <t>CH4 [%]</t>
  </si>
  <si>
    <t>CO2 [%]</t>
  </si>
  <si>
    <t>pH</t>
  </si>
  <si>
    <t>B</t>
  </si>
  <si>
    <t>MR</t>
  </si>
  <si>
    <t>MA</t>
  </si>
  <si>
    <t>MM</t>
  </si>
  <si>
    <t>F</t>
  </si>
  <si>
    <t>V_gas</t>
  </si>
  <si>
    <t>Absorbance table</t>
  </si>
  <si>
    <t>VSS test all bottles</t>
  </si>
  <si>
    <t>sample [mL]</t>
  </si>
  <si>
    <t>clean [g]</t>
  </si>
  <si>
    <t>105 [g]</t>
  </si>
  <si>
    <t>550 [g]</t>
  </si>
  <si>
    <t>TSS [g]</t>
  </si>
  <si>
    <t>VSS [g]</t>
  </si>
  <si>
    <t>TSS [g/L]</t>
  </si>
  <si>
    <t>VSS [g/L]</t>
  </si>
  <si>
    <t>TSS [relative std g/L]</t>
  </si>
  <si>
    <t>VSS [relative std g/L]</t>
  </si>
  <si>
    <t>prik verlies [mbar]</t>
  </si>
  <si>
    <t>ambient</t>
  </si>
  <si>
    <t>VSS growth [g]</t>
  </si>
  <si>
    <t>delta</t>
  </si>
  <si>
    <t>g COD/ml</t>
  </si>
  <si>
    <t>g COD</t>
  </si>
  <si>
    <t>ml</t>
  </si>
  <si>
    <t>max mL</t>
  </si>
  <si>
    <t>COD actual</t>
  </si>
  <si>
    <t>mu max</t>
  </si>
  <si>
    <t>Blank</t>
  </si>
  <si>
    <t>MRA</t>
  </si>
  <si>
    <t>MAA</t>
  </si>
  <si>
    <t>MRA &amp; MAA</t>
  </si>
  <si>
    <t>Fed</t>
  </si>
  <si>
    <t>COD lost</t>
  </si>
  <si>
    <t>COD gas</t>
  </si>
  <si>
    <t>actual end pressure</t>
  </si>
  <si>
    <t>gas produced new gas % [mbar]</t>
  </si>
  <si>
    <t>diff [mbar]</t>
  </si>
  <si>
    <t>produced [2.14-&gt; end]</t>
  </si>
  <si>
    <t>mbar/h</t>
  </si>
  <si>
    <t>VSS / L increase</t>
  </si>
  <si>
    <t>STD</t>
  </si>
  <si>
    <t>max gas prod theoretical COD [mbar]</t>
  </si>
  <si>
    <t>P std [mbar]</t>
  </si>
  <si>
    <t>VSS 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</si>
</sst>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2" fillId="3" borderId="0" xfId="2"/>
    <xf numFmtId="164" fontId="1" fillId="2" borderId="0" xfId="1" applyNumberFormat="1"/>
    <xf numFmtId="0" fontId="4" fillId="4" borderId="0" xfId="3"/>
    <xf numFmtId="49" fontId="1" fillId="2" borderId="0" xfId="1" applyNumberFormat="1"/>
    <xf numFmtId="0" fontId="4" fillId="4" borderId="1" xfId="3" applyBorder="1"/>
    <xf numFmtId="0" fontId="0" fillId="0" borderId="2" xfId="0" applyBorder="1"/>
    <xf numFmtId="2" fontId="1" fillId="2" borderId="0" xfId="1" applyNumberFormat="1"/>
    <xf numFmtId="2" fontId="0" fillId="0" borderId="0" xfId="0" applyNumberFormat="1"/>
    <xf numFmtId="165" fontId="0" fillId="0" borderId="0" xfId="0" applyNumberFormat="1"/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78611111111111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VSSTSS!$A$10:$A$39</c:f>
              <c:strCache>
                <c:ptCount val="30"/>
                <c:pt idx="0">
                  <c:v>B1</c:v>
                </c:pt>
                <c:pt idx="2">
                  <c:v>B2</c:v>
                </c:pt>
                <c:pt idx="4">
                  <c:v>B3</c:v>
                </c:pt>
                <c:pt idx="6">
                  <c:v>MR1</c:v>
                </c:pt>
                <c:pt idx="8">
                  <c:v>MR2</c:v>
                </c:pt>
                <c:pt idx="10">
                  <c:v>MR3</c:v>
                </c:pt>
                <c:pt idx="12">
                  <c:v>MA1</c:v>
                </c:pt>
                <c:pt idx="14">
                  <c:v>MA2</c:v>
                </c:pt>
                <c:pt idx="16">
                  <c:v>MA3</c:v>
                </c:pt>
                <c:pt idx="18">
                  <c:v>MM1</c:v>
                </c:pt>
                <c:pt idx="20">
                  <c:v>MM2</c:v>
                </c:pt>
                <c:pt idx="22">
                  <c:v>MM3</c:v>
                </c:pt>
                <c:pt idx="24">
                  <c:v>F1</c:v>
                </c:pt>
                <c:pt idx="26">
                  <c:v>F2</c:v>
                </c:pt>
                <c:pt idx="28">
                  <c:v>F3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VSSTSS!$P$10:$P$39</c:f>
              <c:numCache>
                <c:formatCode>General</c:formatCode>
                <c:ptCount val="30"/>
                <c:pt idx="0">
                  <c:v>1.5799999999999894E-2</c:v>
                </c:pt>
                <c:pt idx="2">
                  <c:v>1.6633333333333136E-2</c:v>
                </c:pt>
                <c:pt idx="4">
                  <c:v>1.4550000000000955E-2</c:v>
                </c:pt>
                <c:pt idx="6">
                  <c:v>1.871666666666531E-2</c:v>
                </c:pt>
                <c:pt idx="8">
                  <c:v>7.58000000000007E-2</c:v>
                </c:pt>
                <c:pt idx="10">
                  <c:v>8.2883333333334169E-2</c:v>
                </c:pt>
                <c:pt idx="12">
                  <c:v>9.5499999999996525E-3</c:v>
                </c:pt>
                <c:pt idx="14">
                  <c:v>4.4966666666667057E-2</c:v>
                </c:pt>
                <c:pt idx="16">
                  <c:v>5.2050000000002386E-2</c:v>
                </c:pt>
                <c:pt idx="20">
                  <c:v>5.1216666666667285E-2</c:v>
                </c:pt>
                <c:pt idx="22">
                  <c:v>7.4133333333332357E-2</c:v>
                </c:pt>
                <c:pt idx="24">
                  <c:v>3.1216666666667638E-2</c:v>
                </c:pt>
                <c:pt idx="26">
                  <c:v>4.663333333333354E-2</c:v>
                </c:pt>
                <c:pt idx="28">
                  <c:v>4.5383333333332748E-2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8-4315-B4B3-B5977E142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33085216"/>
        <c:axId val="433086856"/>
      </c:barChart>
      <c:catAx>
        <c:axId val="43308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86856"/>
        <c:crosses val="autoZero"/>
        <c:auto val="1"/>
        <c:lblAlgn val="ctr"/>
        <c:lblOffset val="100"/>
        <c:noMultiLvlLbl val="0"/>
      </c:catAx>
      <c:valAx>
        <c:axId val="43308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8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</a:t>
            </a:r>
            <a:r>
              <a:rPr lang="en-US" baseline="0"/>
              <a:t> increase over experiment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VSSTSS!$B$41</c:f>
              <c:strCache>
                <c:ptCount val="1"/>
                <c:pt idx="0">
                  <c:v>VSS / L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VSSTSS!$C$42:$C$46</c:f>
                <c:numCache>
                  <c:formatCode>General</c:formatCode>
                  <c:ptCount val="5"/>
                  <c:pt idx="0">
                    <c:v>8.5616861152297552E-4</c:v>
                  </c:pt>
                  <c:pt idx="1">
                    <c:v>2.8724827949716227E-2</c:v>
                  </c:pt>
                  <c:pt idx="2">
                    <c:v>1.8591407480306594E-2</c:v>
                  </c:pt>
                  <c:pt idx="3">
                    <c:v>1.1458333333332526E-2</c:v>
                  </c:pt>
                  <c:pt idx="4">
                    <c:v>6.9915071936957002E-3</c:v>
                  </c:pt>
                </c:numCache>
              </c:numRef>
            </c:plus>
            <c:minus>
              <c:numRef>
                <c:f>VSSTSS!$D$42:$D$46</c:f>
                <c:numCache>
                  <c:formatCode>General</c:formatCode>
                  <c:ptCount val="5"/>
                  <c:pt idx="0">
                    <c:v>-8.5616861152297552E-4</c:v>
                  </c:pt>
                  <c:pt idx="1">
                    <c:v>-2.8724827949716227E-2</c:v>
                  </c:pt>
                  <c:pt idx="2">
                    <c:v>-1.8591407480306594E-2</c:v>
                  </c:pt>
                  <c:pt idx="3">
                    <c:v>-1.1458333333332526E-2</c:v>
                  </c:pt>
                  <c:pt idx="4">
                    <c:v>-6.9915071936957002E-3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VSSTSS!$A$42:$A$46</c:f>
              <c:strCache>
                <c:ptCount val="5"/>
                <c:pt idx="0">
                  <c:v>B</c:v>
                </c:pt>
                <c:pt idx="1">
                  <c:v>MR</c:v>
                </c:pt>
                <c:pt idx="2">
                  <c:v>MA</c:v>
                </c:pt>
                <c:pt idx="3">
                  <c:v>MM</c:v>
                </c:pt>
                <c:pt idx="4">
                  <c:v>F</c:v>
                </c:pt>
              </c:strCache>
            </c:strRef>
          </c:cat>
          <c:val>
            <c:numRef>
              <c:f>VSSTSS!$B$42:$B$46</c:f>
              <c:numCache>
                <c:formatCode>General</c:formatCode>
                <c:ptCount val="5"/>
                <c:pt idx="0">
                  <c:v>4.138888888889114E-2</c:v>
                </c:pt>
                <c:pt idx="1">
                  <c:v>0.3022222222222235</c:v>
                </c:pt>
                <c:pt idx="2">
                  <c:v>0.16055555555556131</c:v>
                </c:pt>
                <c:pt idx="3">
                  <c:v>0.32347222222222205</c:v>
                </c:pt>
                <c:pt idx="4">
                  <c:v>0.19388888888889097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E-4936-8301-2358856F2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453560"/>
        <c:axId val="541100456"/>
      </c:barChart>
      <c:catAx>
        <c:axId val="52845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00456"/>
        <c:crosses val="autoZero"/>
        <c:auto val="1"/>
        <c:lblAlgn val="ctr"/>
        <c:lblOffset val="100"/>
        <c:noMultiLvlLbl val="0"/>
      </c:catAx>
      <c:valAx>
        <c:axId val="54110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[VSS/L]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5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Absolute</a:t>
            </a:r>
            <a:r>
              <a:rPr lang="en-GB" baseline="0"/>
              <a:t> pressure [mBar]</a:t>
            </a:r>
          </a:p>
        </c:rich>
      </c:tx>
      <c:layout>
        <c:manualLayout>
          <c:xMode val="edge"/>
          <c:yMode val="edge"/>
          <c:x val="0.41027407767058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13648293963255"/>
          <c:y val="7.407407407407407E-2"/>
          <c:w val="0.67758552055993004"/>
          <c:h val="0.8416746864975212"/>
        </c:manualLayout>
      </c:layout>
      <c:scatterChart>
        <c:scatterStyle val="lineMarker"/>
        <c:varyColors val="0"/>
        <c:ser>
          <c:idx val="3"/>
          <c:order val="3"/>
          <c:tx>
            <c:strRef>
              <c:f>P!$B$6</c:f>
              <c:strCache>
                <c:ptCount val="1"/>
                <c:pt idx="0">
                  <c:v>MR1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P!$C$2:$P$2</c:f>
              <c:strCache>
                <c:ptCount val="14"/>
                <c:pt idx="0">
                  <c:v>13:00:00</c:v>
                </c:pt>
                <c:pt idx="1">
                  <c:v>16:36:00</c:v>
                </c:pt>
                <c:pt idx="2">
                  <c:v>10:13:00</c:v>
                </c:pt>
                <c:pt idx="3">
                  <c:v>16:15:00</c:v>
                </c:pt>
                <c:pt idx="4">
                  <c:v>10:55:00</c:v>
                </c:pt>
                <c:pt idx="5">
                  <c:v>10 ml extra</c:v>
                </c:pt>
                <c:pt idx="6">
                  <c:v>after MAA</c:v>
                </c:pt>
                <c:pt idx="7">
                  <c:v>16:27:00</c:v>
                </c:pt>
                <c:pt idx="8">
                  <c:v>08:30:00</c:v>
                </c:pt>
                <c:pt idx="9">
                  <c:v>16:51:00</c:v>
                </c:pt>
                <c:pt idx="10">
                  <c:v>10:34:00</c:v>
                </c:pt>
                <c:pt idx="11">
                  <c:v>16:34:00</c:v>
                </c:pt>
                <c:pt idx="12">
                  <c:v>08:42:00</c:v>
                </c:pt>
                <c:pt idx="13">
                  <c:v>10:20:00</c:v>
                </c:pt>
              </c:strCache>
            </c:strRef>
          </c:xVal>
          <c:yVal>
            <c:numRef>
              <c:f>P!$C$6:$P$6</c:f>
              <c:numCache>
                <c:formatCode>General</c:formatCode>
                <c:ptCount val="14"/>
                <c:pt idx="0">
                  <c:v>1085</c:v>
                </c:pt>
                <c:pt idx="1">
                  <c:v>1072</c:v>
                </c:pt>
                <c:pt idx="2">
                  <c:v>1051</c:v>
                </c:pt>
                <c:pt idx="3">
                  <c:v>1032</c:v>
                </c:pt>
                <c:pt idx="4">
                  <c:v>974</c:v>
                </c:pt>
                <c:pt idx="5">
                  <c:v>758</c:v>
                </c:pt>
                <c:pt idx="6">
                  <c:v>974</c:v>
                </c:pt>
                <c:pt idx="7">
                  <c:v>983</c:v>
                </c:pt>
                <c:pt idx="8">
                  <c:v>983</c:v>
                </c:pt>
                <c:pt idx="9">
                  <c:v>987</c:v>
                </c:pt>
                <c:pt idx="10">
                  <c:v>1005</c:v>
                </c:pt>
                <c:pt idx="11">
                  <c:v>1004</c:v>
                </c:pt>
                <c:pt idx="12">
                  <c:v>1028</c:v>
                </c:pt>
                <c:pt idx="13">
                  <c:v>1031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9A-4780-A09C-1244CEB16798}"/>
            </c:ext>
          </c:extLst>
        </c:ser>
        <c:ser>
          <c:idx val="4"/>
          <c:order val="4"/>
          <c:tx>
            <c:strRef>
              <c:f>P!$B$7</c:f>
              <c:strCache>
                <c:ptCount val="1"/>
                <c:pt idx="0">
                  <c:v>MR2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P!$C$2:$P$2</c:f>
              <c:strCache>
                <c:ptCount val="14"/>
                <c:pt idx="0">
                  <c:v>13:00:00</c:v>
                </c:pt>
                <c:pt idx="1">
                  <c:v>16:36:00</c:v>
                </c:pt>
                <c:pt idx="2">
                  <c:v>10:13:00</c:v>
                </c:pt>
                <c:pt idx="3">
                  <c:v>16:15:00</c:v>
                </c:pt>
                <c:pt idx="4">
                  <c:v>10:55:00</c:v>
                </c:pt>
                <c:pt idx="5">
                  <c:v>10 ml extra</c:v>
                </c:pt>
                <c:pt idx="6">
                  <c:v>after MAA</c:v>
                </c:pt>
                <c:pt idx="7">
                  <c:v>16:27:00</c:v>
                </c:pt>
                <c:pt idx="8">
                  <c:v>08:30:00</c:v>
                </c:pt>
                <c:pt idx="9">
                  <c:v>16:51:00</c:v>
                </c:pt>
                <c:pt idx="10">
                  <c:v>10:34:00</c:v>
                </c:pt>
                <c:pt idx="11">
                  <c:v>16:34:00</c:v>
                </c:pt>
                <c:pt idx="12">
                  <c:v>08:42:00</c:v>
                </c:pt>
                <c:pt idx="13">
                  <c:v>10:20:00</c:v>
                </c:pt>
              </c:strCache>
            </c:strRef>
          </c:xVal>
          <c:yVal>
            <c:numRef>
              <c:f>P!$C$7:$P$7</c:f>
              <c:numCache>
                <c:formatCode>General</c:formatCode>
                <c:ptCount val="14"/>
                <c:pt idx="0">
                  <c:v>1033</c:v>
                </c:pt>
                <c:pt idx="3">
                  <c:v>1023</c:v>
                </c:pt>
                <c:pt idx="4">
                  <c:v>1022</c:v>
                </c:pt>
                <c:pt idx="5">
                  <c:v>797</c:v>
                </c:pt>
                <c:pt idx="6">
                  <c:v>1022</c:v>
                </c:pt>
                <c:pt idx="7">
                  <c:v>1017</c:v>
                </c:pt>
                <c:pt idx="8">
                  <c:v>1015</c:v>
                </c:pt>
                <c:pt idx="9">
                  <c:v>1014</c:v>
                </c:pt>
                <c:pt idx="10">
                  <c:v>1015</c:v>
                </c:pt>
                <c:pt idx="11">
                  <c:v>1013</c:v>
                </c:pt>
                <c:pt idx="12">
                  <c:v>1020</c:v>
                </c:pt>
                <c:pt idx="13">
                  <c:v>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9A-4780-A09C-1244CEB16798}"/>
            </c:ext>
          </c:extLst>
        </c:ser>
        <c:ser>
          <c:idx val="5"/>
          <c:order val="5"/>
          <c:tx>
            <c:strRef>
              <c:f>P!$B$8</c:f>
              <c:strCache>
                <c:ptCount val="1"/>
                <c:pt idx="0">
                  <c:v>MR3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P!$C$2:$P$2</c:f>
              <c:strCache>
                <c:ptCount val="14"/>
                <c:pt idx="0">
                  <c:v>13:00:00</c:v>
                </c:pt>
                <c:pt idx="1">
                  <c:v>16:36:00</c:v>
                </c:pt>
                <c:pt idx="2">
                  <c:v>10:13:00</c:v>
                </c:pt>
                <c:pt idx="3">
                  <c:v>16:15:00</c:v>
                </c:pt>
                <c:pt idx="4">
                  <c:v>10:55:00</c:v>
                </c:pt>
                <c:pt idx="5">
                  <c:v>10 ml extra</c:v>
                </c:pt>
                <c:pt idx="6">
                  <c:v>after MAA</c:v>
                </c:pt>
                <c:pt idx="7">
                  <c:v>16:27:00</c:v>
                </c:pt>
                <c:pt idx="8">
                  <c:v>08:30:00</c:v>
                </c:pt>
                <c:pt idx="9">
                  <c:v>16:51:00</c:v>
                </c:pt>
                <c:pt idx="10">
                  <c:v>10:34:00</c:v>
                </c:pt>
                <c:pt idx="11">
                  <c:v>16:34:00</c:v>
                </c:pt>
                <c:pt idx="12">
                  <c:v>08:42:00</c:v>
                </c:pt>
                <c:pt idx="13">
                  <c:v>10:20:00</c:v>
                </c:pt>
              </c:strCache>
            </c:strRef>
          </c:xVal>
          <c:yVal>
            <c:numRef>
              <c:f>P!$C$8:$P$8</c:f>
              <c:numCache>
                <c:formatCode>General</c:formatCode>
                <c:ptCount val="14"/>
                <c:pt idx="0">
                  <c:v>1047</c:v>
                </c:pt>
                <c:pt idx="3">
                  <c:v>1032</c:v>
                </c:pt>
                <c:pt idx="4">
                  <c:v>1028</c:v>
                </c:pt>
                <c:pt idx="5">
                  <c:v>810</c:v>
                </c:pt>
                <c:pt idx="6">
                  <c:v>1028</c:v>
                </c:pt>
                <c:pt idx="7">
                  <c:v>1017</c:v>
                </c:pt>
                <c:pt idx="8">
                  <c:v>1010</c:v>
                </c:pt>
                <c:pt idx="9">
                  <c:v>999</c:v>
                </c:pt>
                <c:pt idx="10">
                  <c:v>1008</c:v>
                </c:pt>
                <c:pt idx="11">
                  <c:v>1013</c:v>
                </c:pt>
                <c:pt idx="12">
                  <c:v>1031</c:v>
                </c:pt>
                <c:pt idx="13">
                  <c:v>1025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9A-4780-A09C-1244CEB16798}"/>
            </c:ext>
          </c:extLst>
        </c:ser>
        <c:ser>
          <c:idx val="12"/>
          <c:order val="12"/>
          <c:tx>
            <c:strRef>
              <c:f>P!$B$15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P!$C$2:$P$2</c:f>
              <c:strCache>
                <c:ptCount val="14"/>
                <c:pt idx="0">
                  <c:v>13:00:00</c:v>
                </c:pt>
                <c:pt idx="1">
                  <c:v>16:36:00</c:v>
                </c:pt>
                <c:pt idx="2">
                  <c:v>10:13:00</c:v>
                </c:pt>
                <c:pt idx="3">
                  <c:v>16:15:00</c:v>
                </c:pt>
                <c:pt idx="4">
                  <c:v>10:55:00</c:v>
                </c:pt>
                <c:pt idx="5">
                  <c:v>10 ml extra</c:v>
                </c:pt>
                <c:pt idx="6">
                  <c:v>after MAA</c:v>
                </c:pt>
                <c:pt idx="7">
                  <c:v>16:27:00</c:v>
                </c:pt>
                <c:pt idx="8">
                  <c:v>08:30:00</c:v>
                </c:pt>
                <c:pt idx="9">
                  <c:v>16:51:00</c:v>
                </c:pt>
                <c:pt idx="10">
                  <c:v>10:34:00</c:v>
                </c:pt>
                <c:pt idx="11">
                  <c:v>16:34:00</c:v>
                </c:pt>
                <c:pt idx="12">
                  <c:v>08:42:00</c:v>
                </c:pt>
                <c:pt idx="13">
                  <c:v>10:20:00</c:v>
                </c:pt>
              </c:strCache>
            </c:strRef>
          </c:xVal>
          <c:yVal>
            <c:numRef>
              <c:f>P!$C$15:$P$15</c:f>
              <c:numCache>
                <c:formatCode>General</c:formatCode>
                <c:ptCount val="14"/>
                <c:pt idx="0">
                  <c:v>1015</c:v>
                </c:pt>
                <c:pt idx="3">
                  <c:v>1012</c:v>
                </c:pt>
                <c:pt idx="4">
                  <c:v>1015</c:v>
                </c:pt>
                <c:pt idx="5">
                  <c:v>828</c:v>
                </c:pt>
                <c:pt idx="6">
                  <c:v>1015</c:v>
                </c:pt>
                <c:pt idx="7">
                  <c:v>1013</c:v>
                </c:pt>
                <c:pt idx="8">
                  <c:v>1129</c:v>
                </c:pt>
                <c:pt idx="9">
                  <c:v>1151</c:v>
                </c:pt>
                <c:pt idx="10">
                  <c:v>1170</c:v>
                </c:pt>
                <c:pt idx="11">
                  <c:v>1175</c:v>
                </c:pt>
                <c:pt idx="12">
                  <c:v>1215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C9A-4780-A09C-1244CEB16798}"/>
            </c:ext>
          </c:extLst>
        </c:ser>
        <c:ser>
          <c:idx val="13"/>
          <c:order val="13"/>
          <c:tx>
            <c:strRef>
              <c:f>P!$B$16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P!$C$2:$P$2</c:f>
              <c:strCache>
                <c:ptCount val="14"/>
                <c:pt idx="0">
                  <c:v>13:00:00</c:v>
                </c:pt>
                <c:pt idx="1">
                  <c:v>16:36:00</c:v>
                </c:pt>
                <c:pt idx="2">
                  <c:v>10:13:00</c:v>
                </c:pt>
                <c:pt idx="3">
                  <c:v>16:15:00</c:v>
                </c:pt>
                <c:pt idx="4">
                  <c:v>10:55:00</c:v>
                </c:pt>
                <c:pt idx="5">
                  <c:v>10 ml extra</c:v>
                </c:pt>
                <c:pt idx="6">
                  <c:v>after MAA</c:v>
                </c:pt>
                <c:pt idx="7">
                  <c:v>16:27:00</c:v>
                </c:pt>
                <c:pt idx="8">
                  <c:v>08:30:00</c:v>
                </c:pt>
                <c:pt idx="9">
                  <c:v>16:51:00</c:v>
                </c:pt>
                <c:pt idx="10">
                  <c:v>10:34:00</c:v>
                </c:pt>
                <c:pt idx="11">
                  <c:v>16:34:00</c:v>
                </c:pt>
                <c:pt idx="12">
                  <c:v>08:42:00</c:v>
                </c:pt>
                <c:pt idx="13">
                  <c:v>10:20:00</c:v>
                </c:pt>
              </c:strCache>
            </c:strRef>
          </c:xVal>
          <c:yVal>
            <c:numRef>
              <c:f>P!$C$16:$P$16</c:f>
              <c:numCache>
                <c:formatCode>General</c:formatCode>
                <c:ptCount val="14"/>
                <c:pt idx="0">
                  <c:v>926</c:v>
                </c:pt>
                <c:pt idx="3">
                  <c:v>936</c:v>
                </c:pt>
                <c:pt idx="4">
                  <c:v>942</c:v>
                </c:pt>
                <c:pt idx="5">
                  <c:v>770</c:v>
                </c:pt>
                <c:pt idx="6">
                  <c:v>942</c:v>
                </c:pt>
                <c:pt idx="7">
                  <c:v>948</c:v>
                </c:pt>
                <c:pt idx="8">
                  <c:v>1079</c:v>
                </c:pt>
                <c:pt idx="9">
                  <c:v>1120</c:v>
                </c:pt>
                <c:pt idx="10">
                  <c:v>1136</c:v>
                </c:pt>
                <c:pt idx="11">
                  <c:v>1133</c:v>
                </c:pt>
                <c:pt idx="12">
                  <c:v>1168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C9A-4780-A09C-1244CEB16798}"/>
            </c:ext>
          </c:extLst>
        </c:ser>
        <c:ser>
          <c:idx val="14"/>
          <c:order val="14"/>
          <c:tx>
            <c:strRef>
              <c:f>P!$B$17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P!$C$2:$P$2</c:f>
              <c:strCache>
                <c:ptCount val="14"/>
                <c:pt idx="0">
                  <c:v>13:00:00</c:v>
                </c:pt>
                <c:pt idx="1">
                  <c:v>16:36:00</c:v>
                </c:pt>
                <c:pt idx="2">
                  <c:v>10:13:00</c:v>
                </c:pt>
                <c:pt idx="3">
                  <c:v>16:15:00</c:v>
                </c:pt>
                <c:pt idx="4">
                  <c:v>10:55:00</c:v>
                </c:pt>
                <c:pt idx="5">
                  <c:v>10 ml extra</c:v>
                </c:pt>
                <c:pt idx="6">
                  <c:v>after MAA</c:v>
                </c:pt>
                <c:pt idx="7">
                  <c:v>16:27:00</c:v>
                </c:pt>
                <c:pt idx="8">
                  <c:v>08:30:00</c:v>
                </c:pt>
                <c:pt idx="9">
                  <c:v>16:51:00</c:v>
                </c:pt>
                <c:pt idx="10">
                  <c:v>10:34:00</c:v>
                </c:pt>
                <c:pt idx="11">
                  <c:v>16:34:00</c:v>
                </c:pt>
                <c:pt idx="12">
                  <c:v>08:42:00</c:v>
                </c:pt>
                <c:pt idx="13">
                  <c:v>10:20:00</c:v>
                </c:pt>
              </c:strCache>
            </c:strRef>
          </c:xVal>
          <c:yVal>
            <c:numRef>
              <c:f>P!$C$17:$P$17</c:f>
              <c:numCache>
                <c:formatCode>General</c:formatCode>
                <c:ptCount val="14"/>
                <c:pt idx="0">
                  <c:v>1048</c:v>
                </c:pt>
                <c:pt idx="1">
                  <c:v>1032</c:v>
                </c:pt>
                <c:pt idx="2">
                  <c:v>1029</c:v>
                </c:pt>
                <c:pt idx="3">
                  <c:v>1027</c:v>
                </c:pt>
                <c:pt idx="4">
                  <c:v>1034</c:v>
                </c:pt>
                <c:pt idx="5">
                  <c:v>838</c:v>
                </c:pt>
                <c:pt idx="6">
                  <c:v>1034</c:v>
                </c:pt>
                <c:pt idx="7">
                  <c:v>1022</c:v>
                </c:pt>
                <c:pt idx="8">
                  <c:v>1024</c:v>
                </c:pt>
                <c:pt idx="9">
                  <c:v>1024</c:v>
                </c:pt>
                <c:pt idx="10">
                  <c:v>1035</c:v>
                </c:pt>
                <c:pt idx="11">
                  <c:v>1036</c:v>
                </c:pt>
                <c:pt idx="12">
                  <c:v>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C9A-4780-A09C-1244CEB16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61808"/>
        <c:axId val="3229411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P!$B$3</c15:sqref>
                        </c15:formulaRef>
                      </c:ext>
                    </c:extLst>
                    <c:strCache>
                      <c:ptCount val="1"/>
                      <c:pt idx="0">
                        <c:v>B1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P!$C$2:$P$2</c15:sqref>
                        </c15:formulaRef>
                      </c:ext>
                    </c:extLst>
                    <c:strCache>
                      <c:ptCount val="14"/>
                      <c:pt idx="0">
                        <c:v>13:00:00</c:v>
                      </c:pt>
                      <c:pt idx="1">
                        <c:v>16:36:00</c:v>
                      </c:pt>
                      <c:pt idx="2">
                        <c:v>10:13:00</c:v>
                      </c:pt>
                      <c:pt idx="3">
                        <c:v>16:15:00</c:v>
                      </c:pt>
                      <c:pt idx="4">
                        <c:v>10:55:00</c:v>
                      </c:pt>
                      <c:pt idx="5">
                        <c:v>10 ml extra</c:v>
                      </c:pt>
                      <c:pt idx="6">
                        <c:v>after MAA</c:v>
                      </c:pt>
                      <c:pt idx="7">
                        <c:v>16:27:00</c:v>
                      </c:pt>
                      <c:pt idx="8">
                        <c:v>08:30:00</c:v>
                      </c:pt>
                      <c:pt idx="9">
                        <c:v>16:51:00</c:v>
                      </c:pt>
                      <c:pt idx="10">
                        <c:v>10:34:00</c:v>
                      </c:pt>
                      <c:pt idx="11">
                        <c:v>16:34:00</c:v>
                      </c:pt>
                      <c:pt idx="12">
                        <c:v>08:42:00</c:v>
                      </c:pt>
                      <c:pt idx="13">
                        <c:v>10:20:00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P!$C$3:$P$3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1045</c:v>
                      </c:pt>
                      <c:pt idx="3">
                        <c:v>1017</c:v>
                      </c:pt>
                      <c:pt idx="4">
                        <c:v>1017</c:v>
                      </c:pt>
                      <c:pt idx="5">
                        <c:v>824</c:v>
                      </c:pt>
                      <c:pt idx="6">
                        <c:v>1017</c:v>
                      </c:pt>
                      <c:pt idx="7">
                        <c:v>1010</c:v>
                      </c:pt>
                      <c:pt idx="8">
                        <c:v>987</c:v>
                      </c:pt>
                      <c:pt idx="9">
                        <c:v>962</c:v>
                      </c:pt>
                      <c:pt idx="10">
                        <c:v>960</c:v>
                      </c:pt>
                      <c:pt idx="11">
                        <c:v>967</c:v>
                      </c:pt>
                      <c:pt idx="12">
                        <c:v>981</c:v>
                      </c:pt>
                      <c:pt idx="13">
                        <c:v>990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C9A-4780-A09C-1244CEB1679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P!$B$4</c15:sqref>
                        </c15:formulaRef>
                      </c:ext>
                    </c:extLst>
                    <c:strCache>
                      <c:ptCount val="1"/>
                      <c:pt idx="0">
                        <c:v>B2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P!$C$2:$P$2</c15:sqref>
                        </c15:formulaRef>
                      </c:ext>
                    </c:extLst>
                    <c:strCache>
                      <c:ptCount val="14"/>
                      <c:pt idx="0">
                        <c:v>13:00:00</c:v>
                      </c:pt>
                      <c:pt idx="1">
                        <c:v>16:36:00</c:v>
                      </c:pt>
                      <c:pt idx="2">
                        <c:v>10:13:00</c:v>
                      </c:pt>
                      <c:pt idx="3">
                        <c:v>16:15:00</c:v>
                      </c:pt>
                      <c:pt idx="4">
                        <c:v>10:55:00</c:v>
                      </c:pt>
                      <c:pt idx="5">
                        <c:v>10 ml extra</c:v>
                      </c:pt>
                      <c:pt idx="6">
                        <c:v>after MAA</c:v>
                      </c:pt>
                      <c:pt idx="7">
                        <c:v>16:27:00</c:v>
                      </c:pt>
                      <c:pt idx="8">
                        <c:v>08:30:00</c:v>
                      </c:pt>
                      <c:pt idx="9">
                        <c:v>16:51:00</c:v>
                      </c:pt>
                      <c:pt idx="10">
                        <c:v>10:34:00</c:v>
                      </c:pt>
                      <c:pt idx="11">
                        <c:v>16:34:00</c:v>
                      </c:pt>
                      <c:pt idx="12">
                        <c:v>08:42:00</c:v>
                      </c:pt>
                      <c:pt idx="13">
                        <c:v>10:20:00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P!$C$4:$P$4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1000</c:v>
                      </c:pt>
                      <c:pt idx="3">
                        <c:v>990</c:v>
                      </c:pt>
                      <c:pt idx="4">
                        <c:v>995</c:v>
                      </c:pt>
                      <c:pt idx="5">
                        <c:v>810</c:v>
                      </c:pt>
                      <c:pt idx="6">
                        <c:v>995</c:v>
                      </c:pt>
                      <c:pt idx="7">
                        <c:v>992</c:v>
                      </c:pt>
                      <c:pt idx="8">
                        <c:v>993</c:v>
                      </c:pt>
                      <c:pt idx="9">
                        <c:v>990</c:v>
                      </c:pt>
                      <c:pt idx="10">
                        <c:v>961</c:v>
                      </c:pt>
                      <c:pt idx="11">
                        <c:v>963</c:v>
                      </c:pt>
                      <c:pt idx="12">
                        <c:v>978</c:v>
                      </c:pt>
                      <c:pt idx="13">
                        <c:v>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C9A-4780-A09C-1244CEB1679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P!$B$5</c15:sqref>
                        </c15:formulaRef>
                      </c:ext>
                    </c:extLst>
                    <c:strCache>
                      <c:ptCount val="1"/>
                      <c:pt idx="0">
                        <c:v>B3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P!$C$2:$P$2</c15:sqref>
                        </c15:formulaRef>
                      </c:ext>
                    </c:extLst>
                    <c:strCache>
                      <c:ptCount val="14"/>
                      <c:pt idx="0">
                        <c:v>13:00:00</c:v>
                      </c:pt>
                      <c:pt idx="1">
                        <c:v>16:36:00</c:v>
                      </c:pt>
                      <c:pt idx="2">
                        <c:v>10:13:00</c:v>
                      </c:pt>
                      <c:pt idx="3">
                        <c:v>16:15:00</c:v>
                      </c:pt>
                      <c:pt idx="4">
                        <c:v>10:55:00</c:v>
                      </c:pt>
                      <c:pt idx="5">
                        <c:v>10 ml extra</c:v>
                      </c:pt>
                      <c:pt idx="6">
                        <c:v>after MAA</c:v>
                      </c:pt>
                      <c:pt idx="7">
                        <c:v>16:27:00</c:v>
                      </c:pt>
                      <c:pt idx="8">
                        <c:v>08:30:00</c:v>
                      </c:pt>
                      <c:pt idx="9">
                        <c:v>16:51:00</c:v>
                      </c:pt>
                      <c:pt idx="10">
                        <c:v>10:34:00</c:v>
                      </c:pt>
                      <c:pt idx="11">
                        <c:v>16:34:00</c:v>
                      </c:pt>
                      <c:pt idx="12">
                        <c:v>08:42:00</c:v>
                      </c:pt>
                      <c:pt idx="13">
                        <c:v>10:20:00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P!$C$5:$P$5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1065</c:v>
                      </c:pt>
                      <c:pt idx="1">
                        <c:v>1048</c:v>
                      </c:pt>
                      <c:pt idx="2">
                        <c:v>1042</c:v>
                      </c:pt>
                      <c:pt idx="3">
                        <c:v>1038</c:v>
                      </c:pt>
                      <c:pt idx="4">
                        <c:v>1038</c:v>
                      </c:pt>
                      <c:pt idx="5">
                        <c:v>851</c:v>
                      </c:pt>
                      <c:pt idx="6">
                        <c:v>1038</c:v>
                      </c:pt>
                      <c:pt idx="7">
                        <c:v>1030</c:v>
                      </c:pt>
                      <c:pt idx="8">
                        <c:v>1021</c:v>
                      </c:pt>
                      <c:pt idx="9">
                        <c:v>1014</c:v>
                      </c:pt>
                      <c:pt idx="10">
                        <c:v>989</c:v>
                      </c:pt>
                      <c:pt idx="11">
                        <c:v>987</c:v>
                      </c:pt>
                      <c:pt idx="12">
                        <c:v>996</c:v>
                      </c:pt>
                      <c:pt idx="13">
                        <c:v>1007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9A-4780-A09C-1244CEB1679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P!$B$9</c15:sqref>
                        </c15:formulaRef>
                      </c:ext>
                    </c:extLst>
                    <c:strCache>
                      <c:ptCount val="1"/>
                      <c:pt idx="0">
                        <c:v>MA1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P!$C$2:$P$2</c15:sqref>
                        </c15:formulaRef>
                      </c:ext>
                    </c:extLst>
                    <c:strCache>
                      <c:ptCount val="14"/>
                      <c:pt idx="0">
                        <c:v>13:00:00</c:v>
                      </c:pt>
                      <c:pt idx="1">
                        <c:v>16:36:00</c:v>
                      </c:pt>
                      <c:pt idx="2">
                        <c:v>10:13:00</c:v>
                      </c:pt>
                      <c:pt idx="3">
                        <c:v>16:15:00</c:v>
                      </c:pt>
                      <c:pt idx="4">
                        <c:v>10:55:00</c:v>
                      </c:pt>
                      <c:pt idx="5">
                        <c:v>10 ml extra</c:v>
                      </c:pt>
                      <c:pt idx="6">
                        <c:v>after MAA</c:v>
                      </c:pt>
                      <c:pt idx="7">
                        <c:v>16:27:00</c:v>
                      </c:pt>
                      <c:pt idx="8">
                        <c:v>08:30:00</c:v>
                      </c:pt>
                      <c:pt idx="9">
                        <c:v>16:51:00</c:v>
                      </c:pt>
                      <c:pt idx="10">
                        <c:v>10:34:00</c:v>
                      </c:pt>
                      <c:pt idx="11">
                        <c:v>16:34:00</c:v>
                      </c:pt>
                      <c:pt idx="12">
                        <c:v>08:42:00</c:v>
                      </c:pt>
                      <c:pt idx="13">
                        <c:v>10:20:00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P!$C$9:$P$9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1022</c:v>
                      </c:pt>
                      <c:pt idx="1">
                        <c:v>652</c:v>
                      </c:pt>
                      <c:pt idx="2">
                        <c:v>647</c:v>
                      </c:pt>
                      <c:pt idx="3">
                        <c:v>651</c:v>
                      </c:pt>
                      <c:pt idx="4">
                        <c:v>670</c:v>
                      </c:pt>
                      <c:pt idx="5">
                        <c:v>567</c:v>
                      </c:pt>
                      <c:pt idx="6">
                        <c:v>1188</c:v>
                      </c:pt>
                      <c:pt idx="7">
                        <c:v>749</c:v>
                      </c:pt>
                      <c:pt idx="8">
                        <c:v>709</c:v>
                      </c:pt>
                      <c:pt idx="9">
                        <c:v>714</c:v>
                      </c:pt>
                      <c:pt idx="10">
                        <c:v>717</c:v>
                      </c:pt>
                      <c:pt idx="11">
                        <c:v>730</c:v>
                      </c:pt>
                      <c:pt idx="12">
                        <c:v>740</c:v>
                      </c:pt>
                      <c:pt idx="13">
                        <c:v>748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C9A-4780-A09C-1244CEB1679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P!$B$10</c15:sqref>
                        </c15:formulaRef>
                      </c:ext>
                    </c:extLst>
                    <c:strCache>
                      <c:ptCount val="1"/>
                      <c:pt idx="0">
                        <c:v>MA2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P!$C$2:$P$2</c15:sqref>
                        </c15:formulaRef>
                      </c:ext>
                    </c:extLst>
                    <c:strCache>
                      <c:ptCount val="14"/>
                      <c:pt idx="0">
                        <c:v>13:00:00</c:v>
                      </c:pt>
                      <c:pt idx="1">
                        <c:v>16:36:00</c:v>
                      </c:pt>
                      <c:pt idx="2">
                        <c:v>10:13:00</c:v>
                      </c:pt>
                      <c:pt idx="3">
                        <c:v>16:15:00</c:v>
                      </c:pt>
                      <c:pt idx="4">
                        <c:v>10:55:00</c:v>
                      </c:pt>
                      <c:pt idx="5">
                        <c:v>10 ml extra</c:v>
                      </c:pt>
                      <c:pt idx="6">
                        <c:v>after MAA</c:v>
                      </c:pt>
                      <c:pt idx="7">
                        <c:v>16:27:00</c:v>
                      </c:pt>
                      <c:pt idx="8">
                        <c:v>08:30:00</c:v>
                      </c:pt>
                      <c:pt idx="9">
                        <c:v>16:51:00</c:v>
                      </c:pt>
                      <c:pt idx="10">
                        <c:v>10:34:00</c:v>
                      </c:pt>
                      <c:pt idx="11">
                        <c:v>16:34:00</c:v>
                      </c:pt>
                      <c:pt idx="12">
                        <c:v>08:42:00</c:v>
                      </c:pt>
                      <c:pt idx="13">
                        <c:v>10:20:00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P!$C$10:$P$10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1050</c:v>
                      </c:pt>
                      <c:pt idx="3">
                        <c:v>749</c:v>
                      </c:pt>
                      <c:pt idx="4">
                        <c:v>786</c:v>
                      </c:pt>
                      <c:pt idx="5">
                        <c:v>603</c:v>
                      </c:pt>
                      <c:pt idx="6">
                        <c:v>1081</c:v>
                      </c:pt>
                      <c:pt idx="7">
                        <c:v>511</c:v>
                      </c:pt>
                      <c:pt idx="8">
                        <c:v>503</c:v>
                      </c:pt>
                      <c:pt idx="9">
                        <c:v>519</c:v>
                      </c:pt>
                      <c:pt idx="10">
                        <c:v>532</c:v>
                      </c:pt>
                      <c:pt idx="11">
                        <c:v>545</c:v>
                      </c:pt>
                      <c:pt idx="12">
                        <c:v>554</c:v>
                      </c:pt>
                      <c:pt idx="13">
                        <c:v>569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C9A-4780-A09C-1244CEB1679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P!$B$11</c15:sqref>
                        </c15:formulaRef>
                      </c:ext>
                    </c:extLst>
                    <c:strCache>
                      <c:ptCount val="1"/>
                      <c:pt idx="0">
                        <c:v>MA3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P!$C$2:$P$2</c15:sqref>
                        </c15:formulaRef>
                      </c:ext>
                    </c:extLst>
                    <c:strCache>
                      <c:ptCount val="14"/>
                      <c:pt idx="0">
                        <c:v>13:00:00</c:v>
                      </c:pt>
                      <c:pt idx="1">
                        <c:v>16:36:00</c:v>
                      </c:pt>
                      <c:pt idx="2">
                        <c:v>10:13:00</c:v>
                      </c:pt>
                      <c:pt idx="3">
                        <c:v>16:15:00</c:v>
                      </c:pt>
                      <c:pt idx="4">
                        <c:v>10:55:00</c:v>
                      </c:pt>
                      <c:pt idx="5">
                        <c:v>10 ml extra</c:v>
                      </c:pt>
                      <c:pt idx="6">
                        <c:v>after MAA</c:v>
                      </c:pt>
                      <c:pt idx="7">
                        <c:v>16:27:00</c:v>
                      </c:pt>
                      <c:pt idx="8">
                        <c:v>08:30:00</c:v>
                      </c:pt>
                      <c:pt idx="9">
                        <c:v>16:51:00</c:v>
                      </c:pt>
                      <c:pt idx="10">
                        <c:v>10:34:00</c:v>
                      </c:pt>
                      <c:pt idx="11">
                        <c:v>16:34:00</c:v>
                      </c:pt>
                      <c:pt idx="12">
                        <c:v>08:42:00</c:v>
                      </c:pt>
                      <c:pt idx="13">
                        <c:v>10:20:00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P!$C$11:$P$11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1050</c:v>
                      </c:pt>
                      <c:pt idx="3">
                        <c:v>660</c:v>
                      </c:pt>
                      <c:pt idx="4">
                        <c:v>702</c:v>
                      </c:pt>
                      <c:pt idx="5">
                        <c:v>576</c:v>
                      </c:pt>
                      <c:pt idx="6">
                        <c:v>1155</c:v>
                      </c:pt>
                      <c:pt idx="7">
                        <c:v>658</c:v>
                      </c:pt>
                      <c:pt idx="8">
                        <c:v>622</c:v>
                      </c:pt>
                      <c:pt idx="9">
                        <c:v>643</c:v>
                      </c:pt>
                      <c:pt idx="10">
                        <c:v>664</c:v>
                      </c:pt>
                      <c:pt idx="11">
                        <c:v>678</c:v>
                      </c:pt>
                      <c:pt idx="12">
                        <c:v>727</c:v>
                      </c:pt>
                      <c:pt idx="13">
                        <c:v>748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C9A-4780-A09C-1244CEB1679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P!$B$12</c15:sqref>
                        </c15:formulaRef>
                      </c:ext>
                    </c:extLst>
                    <c:strCache>
                      <c:ptCount val="1"/>
                      <c:pt idx="0">
                        <c:v>MM1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P!$C$2:$P$2</c15:sqref>
                        </c15:formulaRef>
                      </c:ext>
                    </c:extLst>
                    <c:strCache>
                      <c:ptCount val="14"/>
                      <c:pt idx="0">
                        <c:v>13:00:00</c:v>
                      </c:pt>
                      <c:pt idx="1">
                        <c:v>16:36:00</c:v>
                      </c:pt>
                      <c:pt idx="2">
                        <c:v>10:13:00</c:v>
                      </c:pt>
                      <c:pt idx="3">
                        <c:v>16:15:00</c:v>
                      </c:pt>
                      <c:pt idx="4">
                        <c:v>10:55:00</c:v>
                      </c:pt>
                      <c:pt idx="5">
                        <c:v>10 ml extra</c:v>
                      </c:pt>
                      <c:pt idx="6">
                        <c:v>after MAA</c:v>
                      </c:pt>
                      <c:pt idx="7">
                        <c:v>16:27:00</c:v>
                      </c:pt>
                      <c:pt idx="8">
                        <c:v>08:30:00</c:v>
                      </c:pt>
                      <c:pt idx="9">
                        <c:v>16:51:00</c:v>
                      </c:pt>
                      <c:pt idx="10">
                        <c:v>10:34:00</c:v>
                      </c:pt>
                      <c:pt idx="11">
                        <c:v>16:34:00</c:v>
                      </c:pt>
                      <c:pt idx="12">
                        <c:v>08:42:00</c:v>
                      </c:pt>
                      <c:pt idx="13">
                        <c:v>10:20:00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P!$C$12:$P$12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1017</c:v>
                      </c:pt>
                      <c:pt idx="3">
                        <c:v>776</c:v>
                      </c:pt>
                      <c:pt idx="4">
                        <c:v>769</c:v>
                      </c:pt>
                      <c:pt idx="5">
                        <c:v>625</c:v>
                      </c:pt>
                      <c:pt idx="6">
                        <c:v>1094</c:v>
                      </c:pt>
                      <c:pt idx="7">
                        <c:v>595</c:v>
                      </c:pt>
                      <c:pt idx="8">
                        <c:v>566</c:v>
                      </c:pt>
                      <c:pt idx="9">
                        <c:v>567</c:v>
                      </c:pt>
                      <c:pt idx="10">
                        <c:v>556</c:v>
                      </c:pt>
                      <c:pt idx="11">
                        <c:v>568</c:v>
                      </c:pt>
                      <c:pt idx="12">
                        <c:v>553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C9A-4780-A09C-1244CEB1679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P!$B$13</c15:sqref>
                        </c15:formulaRef>
                      </c:ext>
                    </c:extLst>
                    <c:strCache>
                      <c:ptCount val="1"/>
                      <c:pt idx="0">
                        <c:v>MM2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P!$C$2:$P$2</c15:sqref>
                        </c15:formulaRef>
                      </c:ext>
                    </c:extLst>
                    <c:strCache>
                      <c:ptCount val="14"/>
                      <c:pt idx="0">
                        <c:v>13:00:00</c:v>
                      </c:pt>
                      <c:pt idx="1">
                        <c:v>16:36:00</c:v>
                      </c:pt>
                      <c:pt idx="2">
                        <c:v>10:13:00</c:v>
                      </c:pt>
                      <c:pt idx="3">
                        <c:v>16:15:00</c:v>
                      </c:pt>
                      <c:pt idx="4">
                        <c:v>10:55:00</c:v>
                      </c:pt>
                      <c:pt idx="5">
                        <c:v>10 ml extra</c:v>
                      </c:pt>
                      <c:pt idx="6">
                        <c:v>after MAA</c:v>
                      </c:pt>
                      <c:pt idx="7">
                        <c:v>16:27:00</c:v>
                      </c:pt>
                      <c:pt idx="8">
                        <c:v>08:30:00</c:v>
                      </c:pt>
                      <c:pt idx="9">
                        <c:v>16:51:00</c:v>
                      </c:pt>
                      <c:pt idx="10">
                        <c:v>10:34:00</c:v>
                      </c:pt>
                      <c:pt idx="11">
                        <c:v>16:34:00</c:v>
                      </c:pt>
                      <c:pt idx="12">
                        <c:v>08:42:00</c:v>
                      </c:pt>
                      <c:pt idx="13">
                        <c:v>10:20:00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P!$C$13:$P$13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1024</c:v>
                      </c:pt>
                      <c:pt idx="3">
                        <c:v>967</c:v>
                      </c:pt>
                      <c:pt idx="4">
                        <c:v>957</c:v>
                      </c:pt>
                      <c:pt idx="5">
                        <c:v>778</c:v>
                      </c:pt>
                      <c:pt idx="6">
                        <c:v>1139</c:v>
                      </c:pt>
                      <c:pt idx="7">
                        <c:v>696</c:v>
                      </c:pt>
                      <c:pt idx="8">
                        <c:v>647</c:v>
                      </c:pt>
                      <c:pt idx="9">
                        <c:v>642</c:v>
                      </c:pt>
                      <c:pt idx="10">
                        <c:v>635</c:v>
                      </c:pt>
                      <c:pt idx="11">
                        <c:v>652</c:v>
                      </c:pt>
                      <c:pt idx="12">
                        <c:v>640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C9A-4780-A09C-1244CEB1679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P!$B$14</c15:sqref>
                        </c15:formulaRef>
                      </c:ext>
                    </c:extLst>
                    <c:strCache>
                      <c:ptCount val="1"/>
                      <c:pt idx="0">
                        <c:v>MM3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P!$C$2:$P$2</c15:sqref>
                        </c15:formulaRef>
                      </c:ext>
                    </c:extLst>
                    <c:strCache>
                      <c:ptCount val="14"/>
                      <c:pt idx="0">
                        <c:v>13:00:00</c:v>
                      </c:pt>
                      <c:pt idx="1">
                        <c:v>16:36:00</c:v>
                      </c:pt>
                      <c:pt idx="2">
                        <c:v>10:13:00</c:v>
                      </c:pt>
                      <c:pt idx="3">
                        <c:v>16:15:00</c:v>
                      </c:pt>
                      <c:pt idx="4">
                        <c:v>10:55:00</c:v>
                      </c:pt>
                      <c:pt idx="5">
                        <c:v>10 ml extra</c:v>
                      </c:pt>
                      <c:pt idx="6">
                        <c:v>after MAA</c:v>
                      </c:pt>
                      <c:pt idx="7">
                        <c:v>16:27:00</c:v>
                      </c:pt>
                      <c:pt idx="8">
                        <c:v>08:30:00</c:v>
                      </c:pt>
                      <c:pt idx="9">
                        <c:v>16:51:00</c:v>
                      </c:pt>
                      <c:pt idx="10">
                        <c:v>10:34:00</c:v>
                      </c:pt>
                      <c:pt idx="11">
                        <c:v>16:34:00</c:v>
                      </c:pt>
                      <c:pt idx="12">
                        <c:v>08:42:00</c:v>
                      </c:pt>
                      <c:pt idx="13">
                        <c:v>10:20:00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P!$C$14:$P$14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1058</c:v>
                      </c:pt>
                      <c:pt idx="1">
                        <c:v>960</c:v>
                      </c:pt>
                      <c:pt idx="2">
                        <c:v>1015</c:v>
                      </c:pt>
                      <c:pt idx="3">
                        <c:v>1010</c:v>
                      </c:pt>
                      <c:pt idx="4">
                        <c:v>998</c:v>
                      </c:pt>
                      <c:pt idx="5">
                        <c:v>810</c:v>
                      </c:pt>
                      <c:pt idx="6">
                        <c:v>1102</c:v>
                      </c:pt>
                      <c:pt idx="7">
                        <c:v>818</c:v>
                      </c:pt>
                      <c:pt idx="8">
                        <c:v>950</c:v>
                      </c:pt>
                      <c:pt idx="9">
                        <c:v>945</c:v>
                      </c:pt>
                      <c:pt idx="10">
                        <c:v>937</c:v>
                      </c:pt>
                      <c:pt idx="11">
                        <c:v>941</c:v>
                      </c:pt>
                      <c:pt idx="12">
                        <c:v>920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C9A-4780-A09C-1244CEB1679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P!$B$18</c15:sqref>
                        </c15:formulaRef>
                      </c:ext>
                    </c:extLst>
                    <c:strCache>
                      <c:ptCount val="1"/>
                      <c:pt idx="0">
                        <c:v>Ambient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P!$C$2:$P$2</c15:sqref>
                        </c15:formulaRef>
                      </c:ext>
                    </c:extLst>
                    <c:strCache>
                      <c:ptCount val="14"/>
                      <c:pt idx="0">
                        <c:v>13:00:00</c:v>
                      </c:pt>
                      <c:pt idx="1">
                        <c:v>16:36:00</c:v>
                      </c:pt>
                      <c:pt idx="2">
                        <c:v>10:13:00</c:v>
                      </c:pt>
                      <c:pt idx="3">
                        <c:v>16:15:00</c:v>
                      </c:pt>
                      <c:pt idx="4">
                        <c:v>10:55:00</c:v>
                      </c:pt>
                      <c:pt idx="5">
                        <c:v>10 ml extra</c:v>
                      </c:pt>
                      <c:pt idx="6">
                        <c:v>after MAA</c:v>
                      </c:pt>
                      <c:pt idx="7">
                        <c:v>16:27:00</c:v>
                      </c:pt>
                      <c:pt idx="8">
                        <c:v>08:30:00</c:v>
                      </c:pt>
                      <c:pt idx="9">
                        <c:v>16:51:00</c:v>
                      </c:pt>
                      <c:pt idx="10">
                        <c:v>10:34:00</c:v>
                      </c:pt>
                      <c:pt idx="11">
                        <c:v>16:34:00</c:v>
                      </c:pt>
                      <c:pt idx="12">
                        <c:v>08:42:00</c:v>
                      </c:pt>
                      <c:pt idx="13">
                        <c:v>10:20:00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P!$C$18:$P$18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1017</c:v>
                      </c:pt>
                      <c:pt idx="1">
                        <c:v>1017</c:v>
                      </c:pt>
                      <c:pt idx="2">
                        <c:v>1015</c:v>
                      </c:pt>
                      <c:pt idx="3">
                        <c:v>1013</c:v>
                      </c:pt>
                      <c:pt idx="4">
                        <c:v>1013</c:v>
                      </c:pt>
                      <c:pt idx="5">
                        <c:v>1013</c:v>
                      </c:pt>
                      <c:pt idx="6">
                        <c:v>1013</c:v>
                      </c:pt>
                      <c:pt idx="7">
                        <c:v>1012</c:v>
                      </c:pt>
                      <c:pt idx="8">
                        <c:v>1010</c:v>
                      </c:pt>
                      <c:pt idx="9">
                        <c:v>1008</c:v>
                      </c:pt>
                      <c:pt idx="10">
                        <c:v>1005</c:v>
                      </c:pt>
                      <c:pt idx="11">
                        <c:v>1005</c:v>
                      </c:pt>
                      <c:pt idx="12">
                        <c:v>1015</c:v>
                      </c:pt>
                      <c:pt idx="13">
                        <c:v>1020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C9A-4780-A09C-1244CEB1679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P!$B$19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P!$C$2:$P$2</c15:sqref>
                        </c15:formulaRef>
                      </c:ext>
                    </c:extLst>
                    <c:strCache>
                      <c:ptCount val="14"/>
                      <c:pt idx="0">
                        <c:v>13:00:00</c:v>
                      </c:pt>
                      <c:pt idx="1">
                        <c:v>16:36:00</c:v>
                      </c:pt>
                      <c:pt idx="2">
                        <c:v>10:13:00</c:v>
                      </c:pt>
                      <c:pt idx="3">
                        <c:v>16:15:00</c:v>
                      </c:pt>
                      <c:pt idx="4">
                        <c:v>10:55:00</c:v>
                      </c:pt>
                      <c:pt idx="5">
                        <c:v>10 ml extra</c:v>
                      </c:pt>
                      <c:pt idx="6">
                        <c:v>after MAA</c:v>
                      </c:pt>
                      <c:pt idx="7">
                        <c:v>16:27:00</c:v>
                      </c:pt>
                      <c:pt idx="8">
                        <c:v>08:30:00</c:v>
                      </c:pt>
                      <c:pt idx="9">
                        <c:v>16:51:00</c:v>
                      </c:pt>
                      <c:pt idx="10">
                        <c:v>10:34:00</c:v>
                      </c:pt>
                      <c:pt idx="11">
                        <c:v>16:34:00</c:v>
                      </c:pt>
                      <c:pt idx="12">
                        <c:v>08:42:00</c:v>
                      </c:pt>
                      <c:pt idx="13">
                        <c:v>10:20:00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P!$C$19:$P$19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21.2</c:v>
                      </c:pt>
                      <c:pt idx="1">
                        <c:v>21</c:v>
                      </c:pt>
                      <c:pt idx="2">
                        <c:v>21.2</c:v>
                      </c:pt>
                      <c:pt idx="3">
                        <c:v>21.2</c:v>
                      </c:pt>
                      <c:pt idx="4">
                        <c:v>21.3</c:v>
                      </c:pt>
                      <c:pt idx="5">
                        <c:v>21.3</c:v>
                      </c:pt>
                      <c:pt idx="6">
                        <c:v>21.3</c:v>
                      </c:pt>
                      <c:pt idx="7">
                        <c:v>21.2</c:v>
                      </c:pt>
                      <c:pt idx="8">
                        <c:v>20.8</c:v>
                      </c:pt>
                      <c:pt idx="9">
                        <c:v>20.8</c:v>
                      </c:pt>
                      <c:pt idx="10">
                        <c:v>20.7</c:v>
                      </c:pt>
                      <c:pt idx="11">
                        <c:v>21</c:v>
                      </c:pt>
                      <c:pt idx="12">
                        <c:v>20.9</c:v>
                      </c:pt>
                      <c:pt idx="13">
                        <c:v>21.2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C9A-4780-A09C-1244CEB16798}"/>
                  </c:ext>
                </c:extLst>
              </c15:ser>
            </c15:filteredScatterSeries>
          </c:ext>
        </c:extLst>
      </c:scatterChart>
      <c:valAx>
        <c:axId val="43596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41184"/>
        <c:crosses val="autoZero"/>
        <c:crossBetween val="midCat"/>
      </c:valAx>
      <c:valAx>
        <c:axId val="322941184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6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 avarage pressure [mBar]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P!$B$24</c:f>
              <c:strCache>
                <c:ptCount val="1"/>
                <c:pt idx="0">
                  <c:v>Blank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P!$C$23:$N$23</c:f>
              <c:numCache>
                <c:formatCode>0.00</c:formatCode>
                <c:ptCount val="12"/>
                <c:pt idx="0">
                  <c:v>0</c:v>
                </c:pt>
                <c:pt idx="1">
                  <c:v>0.15000000000145519</c:v>
                </c:pt>
                <c:pt idx="2">
                  <c:v>0.88402777777810115</c:v>
                </c:pt>
                <c:pt idx="3">
                  <c:v>1.1354166666715173</c:v>
                </c:pt>
                <c:pt idx="4">
                  <c:v>1.9131944444452529</c:v>
                </c:pt>
                <c:pt idx="5">
                  <c:v>2.1437500000029104</c:v>
                </c:pt>
                <c:pt idx="6">
                  <c:v>2.8125</c:v>
                </c:pt>
                <c:pt idx="7">
                  <c:v>3.1604166666656965</c:v>
                </c:pt>
                <c:pt idx="8">
                  <c:v>3.898611111115315</c:v>
                </c:pt>
                <c:pt idx="9">
                  <c:v>4.148611111115315</c:v>
                </c:pt>
                <c:pt idx="10">
                  <c:v>6.820833333338669</c:v>
                </c:pt>
                <c:pt idx="11">
                  <c:v>7.8888888888905058</c:v>
                </c:pt>
              </c:numCache>
            </c:numRef>
          </c:xVal>
          <c:yVal>
            <c:numRef>
              <c:f>P!$C$24:$N$24</c:f>
              <c:numCache>
                <c:formatCode>General</c:formatCode>
                <c:ptCount val="12"/>
                <c:pt idx="0">
                  <c:v>1042.6666666666667</c:v>
                </c:pt>
                <c:pt idx="1">
                  <c:v>1060</c:v>
                </c:pt>
                <c:pt idx="2">
                  <c:v>1060</c:v>
                </c:pt>
                <c:pt idx="3">
                  <c:v>1039</c:v>
                </c:pt>
                <c:pt idx="4">
                  <c:v>1046.6666666666665</c:v>
                </c:pt>
                <c:pt idx="5">
                  <c:v>974.66666666666663</c:v>
                </c:pt>
                <c:pt idx="6">
                  <c:v>958.33333333333337</c:v>
                </c:pt>
                <c:pt idx="7">
                  <c:v>940.66666666666663</c:v>
                </c:pt>
                <c:pt idx="8">
                  <c:v>916</c:v>
                </c:pt>
                <c:pt idx="9">
                  <c:v>912.33333333333337</c:v>
                </c:pt>
                <c:pt idx="10">
                  <c:v>919</c:v>
                </c:pt>
                <c:pt idx="11">
                  <c:v>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C9-49E2-B803-A40C1C34BB3A}"/>
            </c:ext>
          </c:extLst>
        </c:ser>
        <c:ser>
          <c:idx val="1"/>
          <c:order val="1"/>
          <c:tx>
            <c:strRef>
              <c:f>P!$B$25</c:f>
              <c:strCache>
                <c:ptCount val="1"/>
                <c:pt idx="0">
                  <c:v>MRA</c:v>
                </c:pt>
              </c:strCache>
            </c:strRef>
          </c:tx>
          <c:xVal>
            <c:numRef>
              <c:f>P!$C$23:$N$23</c:f>
              <c:numCache>
                <c:formatCode>0.00</c:formatCode>
                <c:ptCount val="12"/>
                <c:pt idx="0">
                  <c:v>0</c:v>
                </c:pt>
                <c:pt idx="1">
                  <c:v>0.15000000000145519</c:v>
                </c:pt>
                <c:pt idx="2">
                  <c:v>0.88402777777810115</c:v>
                </c:pt>
                <c:pt idx="3">
                  <c:v>1.1354166666715173</c:v>
                </c:pt>
                <c:pt idx="4">
                  <c:v>1.9131944444452529</c:v>
                </c:pt>
                <c:pt idx="5">
                  <c:v>2.1437500000029104</c:v>
                </c:pt>
                <c:pt idx="6">
                  <c:v>2.8125</c:v>
                </c:pt>
                <c:pt idx="7">
                  <c:v>3.1604166666656965</c:v>
                </c:pt>
                <c:pt idx="8">
                  <c:v>3.898611111115315</c:v>
                </c:pt>
                <c:pt idx="9">
                  <c:v>4.148611111115315</c:v>
                </c:pt>
                <c:pt idx="10">
                  <c:v>6.820833333338669</c:v>
                </c:pt>
                <c:pt idx="11">
                  <c:v>7.8888888888905058</c:v>
                </c:pt>
              </c:numCache>
            </c:numRef>
          </c:xVal>
          <c:yVal>
            <c:numRef>
              <c:f>P!$C$25:$N$25</c:f>
              <c:numCache>
                <c:formatCode>General</c:formatCode>
                <c:ptCount val="12"/>
                <c:pt idx="0">
                  <c:v>1061</c:v>
                </c:pt>
                <c:pt idx="1">
                  <c:v>1084</c:v>
                </c:pt>
                <c:pt idx="2">
                  <c:v>1069</c:v>
                </c:pt>
                <c:pt idx="3">
                  <c:v>1053</c:v>
                </c:pt>
                <c:pt idx="4">
                  <c:v>978</c:v>
                </c:pt>
                <c:pt idx="5">
                  <c:v>969.66666666666663</c:v>
                </c:pt>
                <c:pt idx="6">
                  <c:v>960.66666666666663</c:v>
                </c:pt>
                <c:pt idx="7">
                  <c:v>952</c:v>
                </c:pt>
                <c:pt idx="8">
                  <c:v>955.33333333333337</c:v>
                </c:pt>
                <c:pt idx="9">
                  <c:v>1070</c:v>
                </c:pt>
                <c:pt idx="10">
                  <c:v>1092.3333333333333</c:v>
                </c:pt>
                <c:pt idx="11">
                  <c:v>1097.6666666666667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C9-49E2-B803-A40C1C34BB3A}"/>
            </c:ext>
          </c:extLst>
        </c:ser>
        <c:ser>
          <c:idx val="2"/>
          <c:order val="2"/>
          <c:tx>
            <c:strRef>
              <c:f>P!$B$26</c:f>
              <c:strCache>
                <c:ptCount val="1"/>
                <c:pt idx="0">
                  <c:v>MAA</c:v>
                </c:pt>
              </c:strCache>
            </c:strRef>
          </c:tx>
          <c:xVal>
            <c:numRef>
              <c:f>P!$C$23:$N$23</c:f>
              <c:numCache>
                <c:formatCode>0.00</c:formatCode>
                <c:ptCount val="12"/>
                <c:pt idx="0">
                  <c:v>0</c:v>
                </c:pt>
                <c:pt idx="1">
                  <c:v>0.15000000000145519</c:v>
                </c:pt>
                <c:pt idx="2">
                  <c:v>0.88402777777810115</c:v>
                </c:pt>
                <c:pt idx="3">
                  <c:v>1.1354166666715173</c:v>
                </c:pt>
                <c:pt idx="4">
                  <c:v>1.9131944444452529</c:v>
                </c:pt>
                <c:pt idx="5">
                  <c:v>2.1437500000029104</c:v>
                </c:pt>
                <c:pt idx="6">
                  <c:v>2.8125</c:v>
                </c:pt>
                <c:pt idx="7">
                  <c:v>3.1604166666656965</c:v>
                </c:pt>
                <c:pt idx="8">
                  <c:v>3.898611111115315</c:v>
                </c:pt>
                <c:pt idx="9">
                  <c:v>4.148611111115315</c:v>
                </c:pt>
                <c:pt idx="10">
                  <c:v>6.820833333338669</c:v>
                </c:pt>
                <c:pt idx="11">
                  <c:v>7.8888888888905058</c:v>
                </c:pt>
              </c:numCache>
            </c:numRef>
          </c:xVal>
          <c:yVal>
            <c:numRef>
              <c:f>P!$C$26:$N$26</c:f>
              <c:numCache>
                <c:formatCode>General</c:formatCode>
                <c:ptCount val="12"/>
                <c:pt idx="0">
                  <c:v>1046.6666666666667</c:v>
                </c:pt>
                <c:pt idx="1">
                  <c:v>640</c:v>
                </c:pt>
                <c:pt idx="2">
                  <c:v>629</c:v>
                </c:pt>
                <c:pt idx="3">
                  <c:v>662.66666666666663</c:v>
                </c:pt>
                <c:pt idx="4">
                  <c:v>689.33333333333337</c:v>
                </c:pt>
                <c:pt idx="5">
                  <c:v>603.33333333333337</c:v>
                </c:pt>
                <c:pt idx="6">
                  <c:v>569.33333333333337</c:v>
                </c:pt>
                <c:pt idx="7">
                  <c:v>577.33333333333337</c:v>
                </c:pt>
                <c:pt idx="8">
                  <c:v>583.66666666666663</c:v>
                </c:pt>
                <c:pt idx="9">
                  <c:v>591</c:v>
                </c:pt>
                <c:pt idx="10">
                  <c:v>607.66666666666663</c:v>
                </c:pt>
                <c:pt idx="11">
                  <c:v>616.33333333333337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C9-49E2-B803-A40C1C34BB3A}"/>
            </c:ext>
          </c:extLst>
        </c:ser>
        <c:ser>
          <c:idx val="3"/>
          <c:order val="3"/>
          <c:tx>
            <c:strRef>
              <c:f>P!$B$27</c:f>
              <c:strCache>
                <c:ptCount val="1"/>
                <c:pt idx="0">
                  <c:v>MRA &amp; MAA</c:v>
                </c:pt>
              </c:strCache>
            </c:strRef>
          </c:tx>
          <c:xVal>
            <c:numRef>
              <c:f>P!$C$23:$N$23</c:f>
              <c:numCache>
                <c:formatCode>0.00</c:formatCode>
                <c:ptCount val="12"/>
                <c:pt idx="0">
                  <c:v>0</c:v>
                </c:pt>
                <c:pt idx="1">
                  <c:v>0.15000000000145519</c:v>
                </c:pt>
                <c:pt idx="2">
                  <c:v>0.88402777777810115</c:v>
                </c:pt>
                <c:pt idx="3">
                  <c:v>1.1354166666715173</c:v>
                </c:pt>
                <c:pt idx="4">
                  <c:v>1.9131944444452529</c:v>
                </c:pt>
                <c:pt idx="5">
                  <c:v>2.1437500000029104</c:v>
                </c:pt>
                <c:pt idx="6">
                  <c:v>2.8125</c:v>
                </c:pt>
                <c:pt idx="7">
                  <c:v>3.1604166666656965</c:v>
                </c:pt>
                <c:pt idx="8">
                  <c:v>3.898611111115315</c:v>
                </c:pt>
                <c:pt idx="9">
                  <c:v>4.148611111115315</c:v>
                </c:pt>
                <c:pt idx="10">
                  <c:v>6.820833333338669</c:v>
                </c:pt>
                <c:pt idx="11">
                  <c:v>7.8888888888905058</c:v>
                </c:pt>
              </c:numCache>
            </c:numRef>
          </c:xVal>
          <c:yVal>
            <c:numRef>
              <c:f>P!$C$27:$N$27</c:f>
              <c:numCache>
                <c:formatCode>General</c:formatCode>
                <c:ptCount val="12"/>
                <c:pt idx="0">
                  <c:v>1039</c:v>
                </c:pt>
                <c:pt idx="1">
                  <c:v>948</c:v>
                </c:pt>
                <c:pt idx="2">
                  <c:v>997</c:v>
                </c:pt>
                <c:pt idx="3">
                  <c:v>893.66666666666663</c:v>
                </c:pt>
                <c:pt idx="4">
                  <c:v>878</c:v>
                </c:pt>
                <c:pt idx="5">
                  <c:v>667</c:v>
                </c:pt>
                <c:pt idx="6">
                  <c:v>679</c:v>
                </c:pt>
                <c:pt idx="7">
                  <c:v>670</c:v>
                </c:pt>
                <c:pt idx="8">
                  <c:v>655.33333333333337</c:v>
                </c:pt>
                <c:pt idx="9">
                  <c:v>660.33333333333337</c:v>
                </c:pt>
                <c:pt idx="10">
                  <c:v>638.33333333333337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C9-49E2-B803-A40C1C34BB3A}"/>
            </c:ext>
          </c:extLst>
        </c:ser>
        <c:ser>
          <c:idx val="4"/>
          <c:order val="4"/>
          <c:tx>
            <c:strRef>
              <c:f>P!$B$28</c:f>
              <c:strCache>
                <c:ptCount val="1"/>
                <c:pt idx="0">
                  <c:v>Fed</c:v>
                </c:pt>
              </c:strCache>
            </c:strRef>
          </c:tx>
          <c:xVal>
            <c:numRef>
              <c:f>P!$C$23:$N$23</c:f>
              <c:numCache>
                <c:formatCode>0.00</c:formatCode>
                <c:ptCount val="12"/>
                <c:pt idx="0">
                  <c:v>0</c:v>
                </c:pt>
                <c:pt idx="1">
                  <c:v>0.15000000000145519</c:v>
                </c:pt>
                <c:pt idx="2">
                  <c:v>0.88402777777810115</c:v>
                </c:pt>
                <c:pt idx="3">
                  <c:v>1.1354166666715173</c:v>
                </c:pt>
                <c:pt idx="4">
                  <c:v>1.9131944444452529</c:v>
                </c:pt>
                <c:pt idx="5">
                  <c:v>2.1437500000029104</c:v>
                </c:pt>
                <c:pt idx="6">
                  <c:v>2.8125</c:v>
                </c:pt>
                <c:pt idx="7">
                  <c:v>3.1604166666656965</c:v>
                </c:pt>
                <c:pt idx="8">
                  <c:v>3.898611111115315</c:v>
                </c:pt>
                <c:pt idx="9">
                  <c:v>4.148611111115315</c:v>
                </c:pt>
                <c:pt idx="10">
                  <c:v>6.820833333338669</c:v>
                </c:pt>
                <c:pt idx="11">
                  <c:v>7.8888888888905058</c:v>
                </c:pt>
              </c:numCache>
            </c:numRef>
          </c:xVal>
          <c:yVal>
            <c:numRef>
              <c:f>P!$C$28:$N$28</c:f>
              <c:numCache>
                <c:formatCode>General</c:formatCode>
                <c:ptCount val="12"/>
                <c:pt idx="0">
                  <c:v>990.33333333333337</c:v>
                </c:pt>
                <c:pt idx="1">
                  <c:v>1044</c:v>
                </c:pt>
                <c:pt idx="2">
                  <c:v>1047</c:v>
                </c:pt>
                <c:pt idx="3">
                  <c:v>967.66666666666663</c:v>
                </c:pt>
                <c:pt idx="4">
                  <c:v>967</c:v>
                </c:pt>
                <c:pt idx="5">
                  <c:v>958.33333333333337</c:v>
                </c:pt>
                <c:pt idx="6">
                  <c:v>1119.3333333333333</c:v>
                </c:pt>
                <c:pt idx="7">
                  <c:v>1146.3333333333333</c:v>
                </c:pt>
                <c:pt idx="8">
                  <c:v>1167.6666666666667</c:v>
                </c:pt>
                <c:pt idx="9">
                  <c:v>1174.6666666666667</c:v>
                </c:pt>
                <c:pt idx="10">
                  <c:v>1225.3333333333333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C9-49E2-B803-A40C1C34BB3A}"/>
            </c:ext>
          </c:extLst>
        </c:ser>
        <c:ser>
          <c:idx val="5"/>
          <c:order val="5"/>
          <c:tx>
            <c:strRef>
              <c:f>P!$B$29</c:f>
              <c:strCache>
                <c:ptCount val="1"/>
                <c:pt idx="0">
                  <c:v>Ambient</c:v>
                </c:pt>
              </c:strCache>
            </c:strRef>
          </c:tx>
          <c:xVal>
            <c:numRef>
              <c:f>P!$C$23:$N$23</c:f>
              <c:numCache>
                <c:formatCode>0.00</c:formatCode>
                <c:ptCount val="12"/>
                <c:pt idx="0">
                  <c:v>0</c:v>
                </c:pt>
                <c:pt idx="1">
                  <c:v>0.15000000000145519</c:v>
                </c:pt>
                <c:pt idx="2">
                  <c:v>0.88402777777810115</c:v>
                </c:pt>
                <c:pt idx="3">
                  <c:v>1.1354166666715173</c:v>
                </c:pt>
                <c:pt idx="4">
                  <c:v>1.9131944444452529</c:v>
                </c:pt>
                <c:pt idx="5">
                  <c:v>2.1437500000029104</c:v>
                </c:pt>
                <c:pt idx="6">
                  <c:v>2.8125</c:v>
                </c:pt>
                <c:pt idx="7">
                  <c:v>3.1604166666656965</c:v>
                </c:pt>
                <c:pt idx="8">
                  <c:v>3.898611111115315</c:v>
                </c:pt>
                <c:pt idx="9">
                  <c:v>4.148611111115315</c:v>
                </c:pt>
                <c:pt idx="10">
                  <c:v>6.820833333338669</c:v>
                </c:pt>
                <c:pt idx="11">
                  <c:v>7.8888888888905058</c:v>
                </c:pt>
              </c:numCache>
            </c:numRef>
          </c:xVal>
          <c:yVal>
            <c:numRef>
              <c:f>P!$C$29:$N$29</c:f>
              <c:numCache>
                <c:formatCode>General</c:formatCode>
                <c:ptCount val="12"/>
                <c:pt idx="0">
                  <c:v>1017</c:v>
                </c:pt>
                <c:pt idx="1">
                  <c:v>1017</c:v>
                </c:pt>
                <c:pt idx="2">
                  <c:v>1015</c:v>
                </c:pt>
                <c:pt idx="3">
                  <c:v>1013</c:v>
                </c:pt>
                <c:pt idx="4">
                  <c:v>1013</c:v>
                </c:pt>
                <c:pt idx="5">
                  <c:v>1012</c:v>
                </c:pt>
                <c:pt idx="6">
                  <c:v>1010</c:v>
                </c:pt>
                <c:pt idx="7">
                  <c:v>1008</c:v>
                </c:pt>
                <c:pt idx="8">
                  <c:v>1005</c:v>
                </c:pt>
                <c:pt idx="9">
                  <c:v>1005</c:v>
                </c:pt>
                <c:pt idx="10">
                  <c:v>1015</c:v>
                </c:pt>
                <c:pt idx="11">
                  <c:v>1020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8-449D-9E3B-0FF363ECE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92192"/>
        <c:axId val="559092520"/>
      </c:scatterChart>
      <c:valAx>
        <c:axId val="559092192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[d]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92520"/>
        <c:crosses val="autoZero"/>
        <c:crossBetween val="midCat"/>
      </c:valAx>
      <c:valAx>
        <c:axId val="55909252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Pressure</a:t>
                </a:r>
                <a:r>
                  <a:rPr lang="en-GB" baseline="0"/>
                  <a:t> [mBar]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9219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 in pressure [d mbar]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06972087408882E-2"/>
          <c:y val="0.11394777265745008"/>
          <c:w val="0.85414037097367357"/>
          <c:h val="0.769308755760368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P!$B$40:$N$40</c:f>
              <c:strCache>
                <c:ptCount val="13"/>
                <c:pt idx="0">
                  <c:v>P [mbar]</c:v>
                </c:pt>
                <c:pt idx="1">
                  <c:v>0</c:v>
                </c:pt>
                <c:pt idx="2">
                  <c:v>0.15</c:v>
                </c:pt>
                <c:pt idx="3">
                  <c:v>0.73</c:v>
                </c:pt>
                <c:pt idx="4">
                  <c:v>0.25</c:v>
                </c:pt>
                <c:pt idx="5">
                  <c:v>0.78</c:v>
                </c:pt>
                <c:pt idx="6">
                  <c:v>0.23</c:v>
                </c:pt>
                <c:pt idx="7">
                  <c:v>0.67</c:v>
                </c:pt>
                <c:pt idx="8">
                  <c:v>0.35</c:v>
                </c:pt>
                <c:pt idx="9">
                  <c:v>0.74</c:v>
                </c:pt>
                <c:pt idx="10">
                  <c:v>0.25</c:v>
                </c:pt>
                <c:pt idx="11">
                  <c:v>2.67</c:v>
                </c:pt>
                <c:pt idx="12">
                  <c:v>1.07</c:v>
                </c:pt>
              </c:strCache>
            </c:strRef>
          </c:xVal>
          <c:yVal>
            <c:numRef>
              <c:f>P!$C$41:$N$41</c:f>
              <c:numCache>
                <c:formatCode>General</c:formatCode>
                <c:ptCount val="12"/>
                <c:pt idx="0">
                  <c:v>0</c:v>
                </c:pt>
                <c:pt idx="1">
                  <c:v>-11</c:v>
                </c:pt>
                <c:pt idx="2">
                  <c:v>0</c:v>
                </c:pt>
                <c:pt idx="3">
                  <c:v>2</c:v>
                </c:pt>
                <c:pt idx="4">
                  <c:v>3.6666666666666665</c:v>
                </c:pt>
                <c:pt idx="5">
                  <c:v>-8</c:v>
                </c:pt>
                <c:pt idx="6">
                  <c:v>-12.333333333333334</c:v>
                </c:pt>
                <c:pt idx="7">
                  <c:v>-13.666666666666666</c:v>
                </c:pt>
                <c:pt idx="8">
                  <c:v>-24.666666666666668</c:v>
                </c:pt>
                <c:pt idx="9">
                  <c:v>-3.6666666666666665</c:v>
                </c:pt>
                <c:pt idx="10">
                  <c:v>6.666666666666667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8-41E1-8BC0-5C6CB944C2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P!$B$40:$N$40</c:f>
              <c:strCache>
                <c:ptCount val="13"/>
                <c:pt idx="0">
                  <c:v>P [mbar]</c:v>
                </c:pt>
                <c:pt idx="1">
                  <c:v>0</c:v>
                </c:pt>
                <c:pt idx="2">
                  <c:v>0.15</c:v>
                </c:pt>
                <c:pt idx="3">
                  <c:v>0.73</c:v>
                </c:pt>
                <c:pt idx="4">
                  <c:v>0.25</c:v>
                </c:pt>
                <c:pt idx="5">
                  <c:v>0.78</c:v>
                </c:pt>
                <c:pt idx="6">
                  <c:v>0.23</c:v>
                </c:pt>
                <c:pt idx="7">
                  <c:v>0.67</c:v>
                </c:pt>
                <c:pt idx="8">
                  <c:v>0.35</c:v>
                </c:pt>
                <c:pt idx="9">
                  <c:v>0.74</c:v>
                </c:pt>
                <c:pt idx="10">
                  <c:v>0.25</c:v>
                </c:pt>
                <c:pt idx="11">
                  <c:v>2.67</c:v>
                </c:pt>
                <c:pt idx="12">
                  <c:v>1.07</c:v>
                </c:pt>
              </c:strCache>
            </c:strRef>
          </c:xVal>
          <c:yVal>
            <c:numRef>
              <c:f>P!$C$42:$N$42</c:f>
              <c:numCache>
                <c:formatCode>General</c:formatCode>
                <c:ptCount val="12"/>
                <c:pt idx="0">
                  <c:v>0</c:v>
                </c:pt>
                <c:pt idx="1">
                  <c:v>-7</c:v>
                </c:pt>
                <c:pt idx="2">
                  <c:v>-15</c:v>
                </c:pt>
                <c:pt idx="3">
                  <c:v>-13</c:v>
                </c:pt>
                <c:pt idx="4">
                  <c:v>-19</c:v>
                </c:pt>
                <c:pt idx="5">
                  <c:v>-0.33333333333333331</c:v>
                </c:pt>
                <c:pt idx="6">
                  <c:v>-5</c:v>
                </c:pt>
                <c:pt idx="7">
                  <c:v>-4.666666666666667</c:v>
                </c:pt>
                <c:pt idx="8">
                  <c:v>11.333333333333334</c:v>
                </c:pt>
                <c:pt idx="9">
                  <c:v>2.6666666666666665</c:v>
                </c:pt>
                <c:pt idx="10">
                  <c:v>22.333333333333332</c:v>
                </c:pt>
                <c:pt idx="11">
                  <c:v>5.333333333333333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8-41E1-8BC0-5C6CB944C2C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P!$B$40:$N$40</c:f>
              <c:strCache>
                <c:ptCount val="13"/>
                <c:pt idx="0">
                  <c:v>P [mbar]</c:v>
                </c:pt>
                <c:pt idx="1">
                  <c:v>0</c:v>
                </c:pt>
                <c:pt idx="2">
                  <c:v>0.15</c:v>
                </c:pt>
                <c:pt idx="3">
                  <c:v>0.73</c:v>
                </c:pt>
                <c:pt idx="4">
                  <c:v>0.25</c:v>
                </c:pt>
                <c:pt idx="5">
                  <c:v>0.78</c:v>
                </c:pt>
                <c:pt idx="6">
                  <c:v>0.23</c:v>
                </c:pt>
                <c:pt idx="7">
                  <c:v>0.67</c:v>
                </c:pt>
                <c:pt idx="8">
                  <c:v>0.35</c:v>
                </c:pt>
                <c:pt idx="9">
                  <c:v>0.74</c:v>
                </c:pt>
                <c:pt idx="10">
                  <c:v>0.25</c:v>
                </c:pt>
                <c:pt idx="11">
                  <c:v>2.67</c:v>
                </c:pt>
                <c:pt idx="12">
                  <c:v>1.07</c:v>
                </c:pt>
              </c:strCache>
            </c:strRef>
          </c:xVal>
          <c:yVal>
            <c:numRef>
              <c:f>P!$C$43:$N$43</c:f>
              <c:numCache>
                <c:formatCode>General</c:formatCode>
                <c:ptCount val="12"/>
                <c:pt idx="0">
                  <c:v>0</c:v>
                </c:pt>
                <c:pt idx="2">
                  <c:v>-11</c:v>
                </c:pt>
                <c:pt idx="3">
                  <c:v>-2</c:v>
                </c:pt>
                <c:pt idx="4">
                  <c:v>26.666666666666668</c:v>
                </c:pt>
                <c:pt idx="6">
                  <c:v>-34</c:v>
                </c:pt>
                <c:pt idx="7">
                  <c:v>8</c:v>
                </c:pt>
                <c:pt idx="8">
                  <c:v>6.333333333333333</c:v>
                </c:pt>
                <c:pt idx="9">
                  <c:v>7.333333333333333</c:v>
                </c:pt>
                <c:pt idx="10">
                  <c:v>16.666666666666668</c:v>
                </c:pt>
                <c:pt idx="11">
                  <c:v>8.6666666666666661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8-41E1-8BC0-5C6CB944C2C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P!$B$40:$N$40</c:f>
              <c:strCache>
                <c:ptCount val="13"/>
                <c:pt idx="0">
                  <c:v>P [mbar]</c:v>
                </c:pt>
                <c:pt idx="1">
                  <c:v>0</c:v>
                </c:pt>
                <c:pt idx="2">
                  <c:v>0.15</c:v>
                </c:pt>
                <c:pt idx="3">
                  <c:v>0.73</c:v>
                </c:pt>
                <c:pt idx="4">
                  <c:v>0.25</c:v>
                </c:pt>
                <c:pt idx="5">
                  <c:v>0.78</c:v>
                </c:pt>
                <c:pt idx="6">
                  <c:v>0.23</c:v>
                </c:pt>
                <c:pt idx="7">
                  <c:v>0.67</c:v>
                </c:pt>
                <c:pt idx="8">
                  <c:v>0.35</c:v>
                </c:pt>
                <c:pt idx="9">
                  <c:v>0.74</c:v>
                </c:pt>
                <c:pt idx="10">
                  <c:v>0.25</c:v>
                </c:pt>
                <c:pt idx="11">
                  <c:v>2.67</c:v>
                </c:pt>
                <c:pt idx="12">
                  <c:v>1.07</c:v>
                </c:pt>
              </c:strCache>
            </c:strRef>
          </c:xVal>
          <c:yVal>
            <c:numRef>
              <c:f>P!$C$44:$N$44</c:f>
              <c:numCache>
                <c:formatCode>General</c:formatCode>
                <c:ptCount val="12"/>
                <c:pt idx="0">
                  <c:v>0</c:v>
                </c:pt>
                <c:pt idx="3">
                  <c:v>-11</c:v>
                </c:pt>
                <c:pt idx="4">
                  <c:v>-15.666666666666666</c:v>
                </c:pt>
                <c:pt idx="6">
                  <c:v>16</c:v>
                </c:pt>
                <c:pt idx="7">
                  <c:v>-5</c:v>
                </c:pt>
                <c:pt idx="8">
                  <c:v>-10.666666666666666</c:v>
                </c:pt>
                <c:pt idx="9">
                  <c:v>9</c:v>
                </c:pt>
                <c:pt idx="10">
                  <c:v>-18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38-41E1-8BC0-5C6CB944C2C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P!$B$40:$N$40</c:f>
              <c:strCache>
                <c:ptCount val="13"/>
                <c:pt idx="0">
                  <c:v>P [mbar]</c:v>
                </c:pt>
                <c:pt idx="1">
                  <c:v>0</c:v>
                </c:pt>
                <c:pt idx="2">
                  <c:v>0.15</c:v>
                </c:pt>
                <c:pt idx="3">
                  <c:v>0.73</c:v>
                </c:pt>
                <c:pt idx="4">
                  <c:v>0.25</c:v>
                </c:pt>
                <c:pt idx="5">
                  <c:v>0.78</c:v>
                </c:pt>
                <c:pt idx="6">
                  <c:v>0.23</c:v>
                </c:pt>
                <c:pt idx="7">
                  <c:v>0.67</c:v>
                </c:pt>
                <c:pt idx="8">
                  <c:v>0.35</c:v>
                </c:pt>
                <c:pt idx="9">
                  <c:v>0.74</c:v>
                </c:pt>
                <c:pt idx="10">
                  <c:v>0.25</c:v>
                </c:pt>
                <c:pt idx="11">
                  <c:v>2.67</c:v>
                </c:pt>
                <c:pt idx="12">
                  <c:v>1.07</c:v>
                </c:pt>
              </c:strCache>
            </c:strRef>
          </c:xVal>
          <c:yVal>
            <c:numRef>
              <c:f>P!$C$45:$N$45</c:f>
              <c:numCache>
                <c:formatCode>General</c:formatCode>
                <c:ptCount val="12"/>
                <c:pt idx="0">
                  <c:v>0</c:v>
                </c:pt>
                <c:pt idx="1">
                  <c:v>-10</c:v>
                </c:pt>
                <c:pt idx="2">
                  <c:v>3</c:v>
                </c:pt>
                <c:pt idx="3">
                  <c:v>4</c:v>
                </c:pt>
                <c:pt idx="4">
                  <c:v>7.333333333333333</c:v>
                </c:pt>
                <c:pt idx="5">
                  <c:v>-0.66666666666666663</c:v>
                </c:pt>
                <c:pt idx="6">
                  <c:v>89</c:v>
                </c:pt>
                <c:pt idx="7">
                  <c:v>27</c:v>
                </c:pt>
                <c:pt idx="8">
                  <c:v>21.333333333333332</c:v>
                </c:pt>
                <c:pt idx="9">
                  <c:v>7</c:v>
                </c:pt>
                <c:pt idx="10">
                  <c:v>50.666666666666664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38-41E1-8BC0-5C6CB944C2C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P!$B$40:$N$40</c:f>
              <c:strCache>
                <c:ptCount val="13"/>
                <c:pt idx="0">
                  <c:v>P [mbar]</c:v>
                </c:pt>
                <c:pt idx="1">
                  <c:v>0</c:v>
                </c:pt>
                <c:pt idx="2">
                  <c:v>0.15</c:v>
                </c:pt>
                <c:pt idx="3">
                  <c:v>0.73</c:v>
                </c:pt>
                <c:pt idx="4">
                  <c:v>0.25</c:v>
                </c:pt>
                <c:pt idx="5">
                  <c:v>0.78</c:v>
                </c:pt>
                <c:pt idx="6">
                  <c:v>0.23</c:v>
                </c:pt>
                <c:pt idx="7">
                  <c:v>0.67</c:v>
                </c:pt>
                <c:pt idx="8">
                  <c:v>0.35</c:v>
                </c:pt>
                <c:pt idx="9">
                  <c:v>0.74</c:v>
                </c:pt>
                <c:pt idx="10">
                  <c:v>0.25</c:v>
                </c:pt>
                <c:pt idx="11">
                  <c:v>2.67</c:v>
                </c:pt>
                <c:pt idx="12">
                  <c:v>1.07</c:v>
                </c:pt>
              </c:strCache>
            </c:strRef>
          </c:xVal>
          <c:yVal>
            <c:numRef>
              <c:f>P!$C$46:$N$46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-2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-2</c:v>
                </c:pt>
                <c:pt idx="8">
                  <c:v>-3</c:v>
                </c:pt>
                <c:pt idx="9">
                  <c:v>0</c:v>
                </c:pt>
                <c:pt idx="10">
                  <c:v>10</c:v>
                </c:pt>
                <c:pt idx="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38-41E1-8BC0-5C6CB944C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22896"/>
        <c:axId val="612418960"/>
      </c:scatterChart>
      <c:valAx>
        <c:axId val="6124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18960"/>
        <c:crosses val="autoZero"/>
        <c:crossBetween val="midCat"/>
      </c:valAx>
      <c:valAx>
        <c:axId val="6124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2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P!$B$24:$B$28</c:f>
              <c:strCache>
                <c:ptCount val="5"/>
                <c:pt idx="0">
                  <c:v>Blank</c:v>
                </c:pt>
                <c:pt idx="1">
                  <c:v>MRA</c:v>
                </c:pt>
                <c:pt idx="2">
                  <c:v>MAA</c:v>
                </c:pt>
                <c:pt idx="3">
                  <c:v>MRA &amp; MAA</c:v>
                </c:pt>
                <c:pt idx="4">
                  <c:v>Fed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P!$R$24:$R$28</c:f>
                <c:numCache>
                  <c:formatCode>General</c:formatCode>
                  <c:ptCount val="5"/>
                  <c:pt idx="0">
                    <c:v>17.707499980391233</c:v>
                  </c:pt>
                  <c:pt idx="1">
                    <c:v>16.546231527987807</c:v>
                  </c:pt>
                  <c:pt idx="2">
                    <c:v>129.36425747133987</c:v>
                  </c:pt>
                  <c:pt idx="3">
                    <c:v>181.19112070469188</c:v>
                  </c:pt>
                  <c:pt idx="4">
                    <c:v>59.367031629048498</c:v>
                  </c:pt>
                </c:numCache>
              </c:numRef>
            </c:plus>
            <c:minus>
              <c:numRef>
                <c:f>P!$S$24:$S$28</c:f>
                <c:numCache>
                  <c:formatCode>General</c:formatCode>
                  <c:ptCount val="5"/>
                  <c:pt idx="0">
                    <c:v>-17.707499980391233</c:v>
                  </c:pt>
                  <c:pt idx="1">
                    <c:v>-16.546231527987807</c:v>
                  </c:pt>
                  <c:pt idx="2">
                    <c:v>-129.36425747133987</c:v>
                  </c:pt>
                  <c:pt idx="3">
                    <c:v>-181.19112070469188</c:v>
                  </c:pt>
                  <c:pt idx="4">
                    <c:v>-59.367031629048498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P!$B$24:$B$28</c:f>
              <c:strCache>
                <c:ptCount val="5"/>
                <c:pt idx="0">
                  <c:v>Blank</c:v>
                </c:pt>
                <c:pt idx="1">
                  <c:v>MRA</c:v>
                </c:pt>
                <c:pt idx="2">
                  <c:v>MAA</c:v>
                </c:pt>
                <c:pt idx="3">
                  <c:v>MRA &amp; MAA</c:v>
                </c:pt>
                <c:pt idx="4">
                  <c:v>Fed</c:v>
                </c:pt>
              </c:strCache>
            </c:strRef>
          </c:cat>
          <c:val>
            <c:numRef>
              <c:f>P!$Q$24:$Q$28</c:f>
              <c:numCache>
                <c:formatCode>General</c:formatCode>
                <c:ptCount val="5"/>
                <c:pt idx="0">
                  <c:v>-51.666666666666629</c:v>
                </c:pt>
                <c:pt idx="1">
                  <c:v>128.00000000000011</c:v>
                </c:pt>
                <c:pt idx="2">
                  <c:v>13</c:v>
                </c:pt>
                <c:pt idx="3">
                  <c:v>-28.666666666666629</c:v>
                </c:pt>
                <c:pt idx="4">
                  <c:v>266.99999999999989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E-4C6A-8AAD-EA7C3C8F5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538512"/>
        <c:axId val="434537856"/>
      </c:barChart>
      <c:catAx>
        <c:axId val="4345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37856"/>
        <c:crosses val="autoZero"/>
        <c:auto val="1"/>
        <c:lblAlgn val="ctr"/>
        <c:lblOffset val="100"/>
        <c:noMultiLvlLbl val="0"/>
      </c:catAx>
      <c:valAx>
        <c:axId val="4345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3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distribution</a:t>
            </a:r>
            <a:r>
              <a:rPr lang="en-GB" baseline="0"/>
              <a:t> at end of Experiment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 composition'!$G$2</c:f>
              <c:strCache>
                <c:ptCount val="1"/>
                <c:pt idx="0">
                  <c:v>H2S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'Gas composition'!$H$3:$H$15</c:f>
                <c:numCache>
                  <c:formatCode>General</c:formatCode>
                  <c:ptCount val="13"/>
                  <c:pt idx="0">
                    <c:v>0.24036752450595417</c:v>
                  </c:pt>
                  <c:pt idx="3">
                    <c:v>0.12490838832921909</c:v>
                  </c:pt>
                  <c:pt idx="6">
                    <c:v>6.3101405172677164E-2</c:v>
                  </c:pt>
                  <c:pt idx="9">
                    <c:v>0.18408102245620617</c:v>
                  </c:pt>
                  <c:pt idx="12">
                    <c:v>0.17756479046834855</c:v>
                  </c:pt>
                </c:numCache>
              </c:numRef>
            </c:plus>
            <c:minus>
              <c:numRef>
                <c:f>'Gas composition'!$H$3:$H$15</c:f>
                <c:numCache>
                  <c:formatCode>General</c:formatCode>
                  <c:ptCount val="13"/>
                  <c:pt idx="0">
                    <c:v>0.24036752450595417</c:v>
                  </c:pt>
                  <c:pt idx="3">
                    <c:v>0.12490838832921909</c:v>
                  </c:pt>
                  <c:pt idx="6">
                    <c:v>6.3101405172677164E-2</c:v>
                  </c:pt>
                  <c:pt idx="9">
                    <c:v>0.18408102245620617</c:v>
                  </c:pt>
                  <c:pt idx="12">
                    <c:v>0.17756479046834855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'Gas composition'!$M$3:$M$15</c:f>
              <c:strCache>
                <c:ptCount val="13"/>
                <c:pt idx="0">
                  <c:v>Blank</c:v>
                </c:pt>
                <c:pt idx="3">
                  <c:v>MRA</c:v>
                </c:pt>
                <c:pt idx="6">
                  <c:v>MAA</c:v>
                </c:pt>
                <c:pt idx="9">
                  <c:v>MRA &amp; MAA</c:v>
                </c:pt>
                <c:pt idx="12">
                  <c:v>Fed</c:v>
                </c:pt>
              </c:strCache>
            </c:strRef>
          </c:cat>
          <c:val>
            <c:numRef>
              <c:f>'Gas composition'!$G$3:$G$15</c:f>
              <c:numCache>
                <c:formatCode>General</c:formatCode>
                <c:ptCount val="13"/>
                <c:pt idx="0">
                  <c:v>0.66929147249999987</c:v>
                </c:pt>
                <c:pt idx="3">
                  <c:v>0.78402715349999985</c:v>
                </c:pt>
                <c:pt idx="6">
                  <c:v>0.7330335174999999</c:v>
                </c:pt>
                <c:pt idx="9">
                  <c:v>0.72665931299999986</c:v>
                </c:pt>
                <c:pt idx="12">
                  <c:v>0.73940772199999982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109-4F00-86C6-46B7A36CD64D}"/>
            </c:ext>
          </c:extLst>
        </c:ser>
        <c:ser>
          <c:idx val="1"/>
          <c:order val="1"/>
          <c:tx>
            <c:strRef>
              <c:f>'Gas composition'!$I$2</c:f>
              <c:strCache>
                <c:ptCount val="1"/>
                <c:pt idx="0">
                  <c:v>CH4 [%]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'Gas composition'!$I$3:$I$15</c:f>
                <c:numCache>
                  <c:formatCode>General</c:formatCode>
                  <c:ptCount val="13"/>
                  <c:pt idx="0">
                    <c:v>0.46666666666666662</c:v>
                  </c:pt>
                  <c:pt idx="3">
                    <c:v>0.35333333333333333</c:v>
                  </c:pt>
                  <c:pt idx="6">
                    <c:v>0.33333333333333331</c:v>
                  </c:pt>
                  <c:pt idx="9">
                    <c:v>0.55333333333333334</c:v>
                  </c:pt>
                  <c:pt idx="12">
                    <c:v>0.46666666666666662</c:v>
                  </c:pt>
                </c:numCache>
              </c:numRef>
            </c:plus>
            <c:minus>
              <c:numRef>
                <c:f>'Gas composition'!$I$3:$I$15</c:f>
                <c:numCache>
                  <c:formatCode>General</c:formatCode>
                  <c:ptCount val="13"/>
                  <c:pt idx="0">
                    <c:v>0.46666666666666662</c:v>
                  </c:pt>
                  <c:pt idx="3">
                    <c:v>0.35333333333333333</c:v>
                  </c:pt>
                  <c:pt idx="6">
                    <c:v>0.33333333333333331</c:v>
                  </c:pt>
                  <c:pt idx="9">
                    <c:v>0.55333333333333334</c:v>
                  </c:pt>
                  <c:pt idx="12">
                    <c:v>0.46666666666666662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'Gas composition'!$I$3:$I$15</c:f>
              <c:numCache>
                <c:formatCode>General</c:formatCode>
                <c:ptCount val="13"/>
                <c:pt idx="0">
                  <c:v>0.46666666666666662</c:v>
                </c:pt>
                <c:pt idx="3">
                  <c:v>0.35333333333333333</c:v>
                </c:pt>
                <c:pt idx="6">
                  <c:v>0.33333333333333331</c:v>
                </c:pt>
                <c:pt idx="9">
                  <c:v>0.55333333333333334</c:v>
                </c:pt>
                <c:pt idx="12">
                  <c:v>0.46666666666666662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109-4F00-86C6-46B7A36CD64D}"/>
            </c:ext>
          </c:extLst>
        </c:ser>
        <c:ser>
          <c:idx val="2"/>
          <c:order val="2"/>
          <c:tx>
            <c:strRef>
              <c:f>'Gas composition'!$K$2</c:f>
              <c:strCache>
                <c:ptCount val="1"/>
                <c:pt idx="0">
                  <c:v>CO2 [%]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'Gas composition'!$L$3:$L$15</c:f>
                <c:numCache>
                  <c:formatCode>General</c:formatCode>
                  <c:ptCount val="13"/>
                  <c:pt idx="0">
                    <c:v>0.94280904158206336</c:v>
                  </c:pt>
                  <c:pt idx="3">
                    <c:v>0.18856180831641264</c:v>
                  </c:pt>
                  <c:pt idx="6">
                    <c:v>0</c:v>
                  </c:pt>
                  <c:pt idx="9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'Gas composition'!$L$3:$L$15</c:f>
                <c:numCache>
                  <c:formatCode>General</c:formatCode>
                  <c:ptCount val="13"/>
                  <c:pt idx="0">
                    <c:v>0.94280904158206336</c:v>
                  </c:pt>
                  <c:pt idx="3">
                    <c:v>0.18856180831641264</c:v>
                  </c:pt>
                  <c:pt idx="6">
                    <c:v>0</c:v>
                  </c:pt>
                  <c:pt idx="9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'Gas composition'!$K$3:$K$15</c:f>
              <c:numCache>
                <c:formatCode>General</c:formatCode>
                <c:ptCount val="13"/>
                <c:pt idx="0">
                  <c:v>2.6666666666666665</c:v>
                </c:pt>
                <c:pt idx="3">
                  <c:v>3.1333333333333333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09-4F00-86C6-46B7A36C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928384"/>
        <c:axId val="569928056"/>
      </c:barChart>
      <c:catAx>
        <c:axId val="5699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28056"/>
        <c:crosses val="autoZero"/>
        <c:auto val="1"/>
        <c:lblAlgn val="ctr"/>
        <c:lblOffset val="100"/>
        <c:noMultiLvlLbl val="0"/>
      </c:catAx>
      <c:valAx>
        <c:axId val="5699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[%] of total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100012</xdr:colOff>
      <xdr:row>41</xdr:row>
      <xdr:rowOff>171450</xdr:rowOff>
    </xdr:from>
    <xdr:to>
      <xdr:col>22</xdr:col>
      <xdr:colOff>404812</xdr:colOff>
      <xdr:row>56</xdr:row>
      <xdr:rowOff>57150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A75567F-D0F7-DF43-42C1-81BE2C413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41</xdr:row>
      <xdr:rowOff>9525</xdr:rowOff>
    </xdr:from>
    <xdr:to>
      <xdr:col>10</xdr:col>
      <xdr:colOff>1257300</xdr:colOff>
      <xdr:row>55</xdr:row>
      <xdr:rowOff>85725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2C8EF8F-D991-86C1-7D60-B3228AE51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1</xdr:row>
      <xdr:rowOff>57151</xdr:rowOff>
    </xdr:from>
    <xdr:to>
      <xdr:col>33</xdr:col>
      <xdr:colOff>409575</xdr:colOff>
      <xdr:row>16</xdr:row>
      <xdr:rowOff>76201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1F3A123-9971-66BE-DF2D-FF8776B25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17896</xdr:colOff>
      <xdr:row>32</xdr:row>
      <xdr:rowOff>36368</xdr:rowOff>
    </xdr:from>
    <xdr:to>
      <xdr:col>35</xdr:col>
      <xdr:colOff>268433</xdr:colOff>
      <xdr:row>54</xdr:row>
      <xdr:rowOff>120506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7E69FA-4F2F-A15D-7E1C-438D999BD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185736</xdr:colOff>
      <xdr:row>57</xdr:row>
      <xdr:rowOff>0</xdr:rowOff>
    </xdr:from>
    <xdr:to>
      <xdr:col>35</xdr:col>
      <xdr:colOff>247650</xdr:colOff>
      <xdr:row>67</xdr:row>
      <xdr:rowOff>28574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FA62224-ED71-2285-E663-C1D41DE40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337703</xdr:colOff>
      <xdr:row>16</xdr:row>
      <xdr:rowOff>35503</xdr:rowOff>
    </xdr:from>
    <xdr:to>
      <xdr:col>27</xdr:col>
      <xdr:colOff>60613</xdr:colOff>
      <xdr:row>30</xdr:row>
      <xdr:rowOff>111703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5594952-93E2-DD30-DC0E-CA699CEB6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728662</xdr:colOff>
      <xdr:row>38</xdr:row>
      <xdr:rowOff>114300</xdr:rowOff>
    </xdr:from>
    <xdr:to>
      <xdr:col>16</xdr:col>
      <xdr:colOff>119062</xdr:colOff>
      <xdr:row>53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958C651-AECB-C34A-1959-C0D191D3E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A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"/>
      <sheetName val="Gas composition"/>
      <sheetName val="COD"/>
      <sheetName val="TSSVS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9"/>
  <sheetViews>
    <sheetView workbookViewId="0">
      <selection activeCell="F21" sqref="F21"/>
    </sheetView>
  </sheetViews>
  <sheetFormatPr defaultRowHeight="15" x14ac:dyDescent="0.25"/>
  <cols>
    <col min="4" max="4" width="12.5703125" customWidth="1"/>
    <col min="5" max="5" width="16" customWidth="1"/>
    <col min="7" max="7" width="14.140625" customWidth="1"/>
  </cols>
  <sheetData>
    <row r="1" spans="2:8" x14ac:dyDescent="0.25">
      <c r="B1" s="1"/>
      <c r="C1" s="1" t="s">
        <v>15</v>
      </c>
      <c r="D1" s="1" t="s">
        <v>17</v>
      </c>
      <c r="E1" s="1" t="s">
        <v>16</v>
      </c>
      <c r="F1" s="1" t="s">
        <v>18</v>
      </c>
      <c r="G1" s="1" t="s">
        <v>19</v>
      </c>
      <c r="H1" s="1" t="s">
        <v>20</v>
      </c>
    </row>
    <row r="2" spans="2:8" x14ac:dyDescent="0.25">
      <c r="B2" t="s">
        <v>0</v>
      </c>
      <c r="C2">
        <v>0</v>
      </c>
      <c r="D2">
        <v>0</v>
      </c>
      <c r="E2">
        <v>100</v>
      </c>
      <c r="F2">
        <v>0</v>
      </c>
      <c r="G2">
        <v>20</v>
      </c>
      <c r="H2">
        <v>4</v>
      </c>
    </row>
    <row r="3" spans="2:8" x14ac:dyDescent="0.25">
      <c r="B3" t="s">
        <v>1</v>
      </c>
      <c r="C3">
        <v>0</v>
      </c>
      <c r="D3">
        <v>0</v>
      </c>
      <c r="E3">
        <v>100</v>
      </c>
      <c r="F3">
        <v>0</v>
      </c>
      <c r="G3">
        <v>20</v>
      </c>
      <c r="H3">
        <v>2</v>
      </c>
    </row>
    <row r="4" spans="2:8" x14ac:dyDescent="0.25">
      <c r="B4" t="s">
        <v>2</v>
      </c>
      <c r="C4">
        <v>0</v>
      </c>
      <c r="D4">
        <v>0</v>
      </c>
      <c r="E4">
        <v>100</v>
      </c>
      <c r="F4">
        <v>0</v>
      </c>
      <c r="G4">
        <v>20</v>
      </c>
      <c r="H4">
        <v>2</v>
      </c>
    </row>
    <row r="5" spans="2:8" x14ac:dyDescent="0.25">
      <c r="B5" t="s">
        <v>3</v>
      </c>
      <c r="C5">
        <v>20.010000000000002</v>
      </c>
      <c r="D5">
        <v>0</v>
      </c>
      <c r="E5">
        <v>100</v>
      </c>
      <c r="F5">
        <v>0</v>
      </c>
      <c r="G5">
        <v>20</v>
      </c>
      <c r="H5">
        <v>6</v>
      </c>
    </row>
    <row r="6" spans="2:8" x14ac:dyDescent="0.25">
      <c r="B6" t="s">
        <v>4</v>
      </c>
      <c r="C6">
        <v>20.010000000000002</v>
      </c>
      <c r="D6">
        <v>0</v>
      </c>
      <c r="E6">
        <v>100</v>
      </c>
      <c r="F6">
        <v>0</v>
      </c>
      <c r="G6">
        <v>20</v>
      </c>
      <c r="H6">
        <v>4</v>
      </c>
    </row>
    <row r="7" spans="2:8" x14ac:dyDescent="0.25">
      <c r="B7" t="s">
        <v>5</v>
      </c>
      <c r="C7">
        <v>20.010000000000002</v>
      </c>
      <c r="D7">
        <v>0</v>
      </c>
      <c r="E7">
        <v>100</v>
      </c>
      <c r="F7">
        <v>0</v>
      </c>
      <c r="G7">
        <v>20</v>
      </c>
      <c r="H7">
        <v>4</v>
      </c>
    </row>
    <row r="8" spans="2:8" x14ac:dyDescent="0.25">
      <c r="B8" t="s">
        <v>6</v>
      </c>
      <c r="C8">
        <v>0</v>
      </c>
      <c r="D8">
        <v>17</v>
      </c>
      <c r="E8">
        <v>83</v>
      </c>
      <c r="F8">
        <v>20</v>
      </c>
      <c r="G8">
        <v>20</v>
      </c>
      <c r="H8">
        <v>5</v>
      </c>
    </row>
    <row r="9" spans="2:8" x14ac:dyDescent="0.25">
      <c r="B9" t="s">
        <v>7</v>
      </c>
      <c r="C9">
        <v>0</v>
      </c>
      <c r="D9">
        <v>17</v>
      </c>
      <c r="E9">
        <v>83</v>
      </c>
      <c r="F9">
        <v>20</v>
      </c>
      <c r="G9">
        <v>20</v>
      </c>
      <c r="H9">
        <v>6</v>
      </c>
    </row>
    <row r="10" spans="2:8" x14ac:dyDescent="0.25">
      <c r="B10" t="s">
        <v>8</v>
      </c>
      <c r="C10">
        <v>0</v>
      </c>
      <c r="D10">
        <v>17</v>
      </c>
      <c r="E10">
        <v>83</v>
      </c>
      <c r="F10">
        <v>20</v>
      </c>
      <c r="G10">
        <v>20</v>
      </c>
      <c r="H10">
        <v>6</v>
      </c>
    </row>
    <row r="11" spans="2:8" x14ac:dyDescent="0.25">
      <c r="B11" t="s">
        <v>9</v>
      </c>
      <c r="C11">
        <v>20.010000000000002</v>
      </c>
      <c r="D11">
        <v>0</v>
      </c>
      <c r="E11">
        <v>100</v>
      </c>
      <c r="F11">
        <v>20</v>
      </c>
      <c r="G11">
        <v>20</v>
      </c>
      <c r="H11">
        <v>5</v>
      </c>
    </row>
    <row r="12" spans="2:8" x14ac:dyDescent="0.25">
      <c r="B12" t="s">
        <v>10</v>
      </c>
      <c r="C12">
        <v>20.010000000000002</v>
      </c>
      <c r="D12">
        <v>0</v>
      </c>
      <c r="E12">
        <v>100</v>
      </c>
      <c r="F12">
        <v>20</v>
      </c>
      <c r="G12">
        <v>20</v>
      </c>
      <c r="H12">
        <v>2</v>
      </c>
    </row>
    <row r="13" spans="2:8" x14ac:dyDescent="0.25">
      <c r="B13" t="s">
        <v>11</v>
      </c>
      <c r="C13">
        <v>20.010000000000002</v>
      </c>
      <c r="D13">
        <v>0</v>
      </c>
      <c r="E13">
        <v>100</v>
      </c>
      <c r="F13">
        <v>20</v>
      </c>
      <c r="G13">
        <v>20</v>
      </c>
      <c r="H13">
        <v>4</v>
      </c>
    </row>
    <row r="14" spans="2:8" x14ac:dyDescent="0.25">
      <c r="B14" t="s">
        <v>12</v>
      </c>
      <c r="C14">
        <v>0</v>
      </c>
      <c r="D14">
        <v>17</v>
      </c>
      <c r="E14">
        <v>83</v>
      </c>
      <c r="F14">
        <v>0</v>
      </c>
      <c r="G14">
        <v>20</v>
      </c>
      <c r="H14">
        <v>5</v>
      </c>
    </row>
    <row r="15" spans="2:8" x14ac:dyDescent="0.25">
      <c r="B15" t="s">
        <v>13</v>
      </c>
      <c r="C15">
        <v>0</v>
      </c>
      <c r="D15">
        <v>17</v>
      </c>
      <c r="E15">
        <v>83</v>
      </c>
      <c r="F15">
        <v>0</v>
      </c>
      <c r="G15">
        <v>20</v>
      </c>
      <c r="H15">
        <v>5</v>
      </c>
    </row>
    <row r="16" spans="2:8" x14ac:dyDescent="0.25">
      <c r="B16" t="s">
        <v>14</v>
      </c>
      <c r="C16">
        <v>0</v>
      </c>
      <c r="D16">
        <v>17</v>
      </c>
      <c r="E16">
        <v>83</v>
      </c>
      <c r="F16">
        <v>0</v>
      </c>
      <c r="G16">
        <v>20</v>
      </c>
      <c r="H16">
        <v>2</v>
      </c>
    </row>
    <row r="19" spans="2:2" x14ac:dyDescent="0.25">
      <c r="B19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84A9-6C46-4040-8D5F-8F41CD32A6DD}">
  <dimension ref="A2:N42"/>
  <sheetViews>
    <sheetView workbookViewId="0">
      <selection activeCell="C8" sqref="C8"/>
    </sheetView>
  </sheetViews>
  <sheetFormatPr defaultRowHeight="15" x14ac:dyDescent="0.25"/>
  <cols>
    <col min="2" max="2" width="14.140625" customWidth="1"/>
    <col min="3" max="3" width="13.140625" customWidth="1"/>
    <col min="4" max="4" width="12.7109375" customWidth="1"/>
    <col min="5" max="5" width="13.140625" customWidth="1"/>
    <col min="6" max="6" width="12.28515625" customWidth="1"/>
    <col min="7" max="7" width="14.140625" customWidth="1"/>
    <col min="8" max="8" width="12.7109375" customWidth="1"/>
    <col min="11" max="11" width="10.5703125" bestFit="1" customWidth="1"/>
  </cols>
  <sheetData>
    <row r="2" spans="2:14" x14ac:dyDescent="0.25">
      <c r="B2" s="1" t="s">
        <v>28</v>
      </c>
      <c r="C2" s="1" t="s">
        <v>24</v>
      </c>
      <c r="D2" s="1" t="s">
        <v>23</v>
      </c>
      <c r="E2" s="2" t="s">
        <v>25</v>
      </c>
      <c r="F2" s="2" t="s">
        <v>26</v>
      </c>
      <c r="G2" s="1" t="s">
        <v>41</v>
      </c>
      <c r="H2" s="1" t="s">
        <v>42</v>
      </c>
      <c r="J2" s="1" t="s">
        <v>80</v>
      </c>
      <c r="K2" s="1" t="s">
        <v>24</v>
      </c>
      <c r="L2" s="1" t="s">
        <v>37</v>
      </c>
      <c r="M2" s="1" t="s">
        <v>38</v>
      </c>
      <c r="N2" s="1" t="s">
        <v>23</v>
      </c>
    </row>
    <row r="3" spans="2:14" x14ac:dyDescent="0.25">
      <c r="B3" t="s">
        <v>0</v>
      </c>
      <c r="C3" s="4">
        <f>C$18*0.02/0.12</f>
        <v>976.58333333333337</v>
      </c>
      <c r="D3" t="s">
        <v>22</v>
      </c>
      <c r="E3" s="2" t="s">
        <v>22</v>
      </c>
      <c r="F3" s="2" t="s">
        <v>22</v>
      </c>
      <c r="G3" t="s">
        <v>22</v>
      </c>
      <c r="H3" t="s">
        <v>22</v>
      </c>
      <c r="J3" t="s">
        <v>0</v>
      </c>
      <c r="K3">
        <f>C3-C28</f>
        <v>151.58333333333337</v>
      </c>
      <c r="L3">
        <f>AVERAGE(K3:K5)</f>
        <v>183.91666666666671</v>
      </c>
      <c r="M3">
        <f>_xlfn.STDEV.P(K3:K5)</f>
        <v>29.329545209945248</v>
      </c>
    </row>
    <row r="4" spans="2:14" x14ac:dyDescent="0.25">
      <c r="B4" t="s">
        <v>1</v>
      </c>
      <c r="C4" s="4">
        <f t="shared" ref="C4:C5" si="0">C$18*0.02/0.12</f>
        <v>976.58333333333337</v>
      </c>
      <c r="D4" t="s">
        <v>22</v>
      </c>
      <c r="E4" s="2" t="s">
        <v>22</v>
      </c>
      <c r="F4" s="2" t="s">
        <v>22</v>
      </c>
      <c r="G4" t="s">
        <v>22</v>
      </c>
      <c r="H4" t="s">
        <v>22</v>
      </c>
      <c r="J4" t="s">
        <v>1</v>
      </c>
      <c r="K4">
        <f t="shared" ref="K4:K17" si="1">C4-C29</f>
        <v>222.58333333333337</v>
      </c>
    </row>
    <row r="5" spans="2:14" x14ac:dyDescent="0.25">
      <c r="B5" t="s">
        <v>2</v>
      </c>
      <c r="C5" s="4">
        <f t="shared" si="0"/>
        <v>976.58333333333337</v>
      </c>
      <c r="D5" t="s">
        <v>22</v>
      </c>
      <c r="E5" s="2" t="s">
        <v>22</v>
      </c>
      <c r="F5" s="2" t="s">
        <v>22</v>
      </c>
      <c r="G5" t="s">
        <v>22</v>
      </c>
      <c r="H5" t="s">
        <v>22</v>
      </c>
      <c r="J5" t="s">
        <v>2</v>
      </c>
      <c r="K5">
        <f t="shared" si="1"/>
        <v>177.58333333333337</v>
      </c>
    </row>
    <row r="6" spans="2:14" x14ac:dyDescent="0.25">
      <c r="B6" t="s">
        <v>3</v>
      </c>
      <c r="C6" s="4">
        <f>AVERAGE(C$12:C$14)</f>
        <v>3427.3333333333335</v>
      </c>
      <c r="E6" s="2"/>
      <c r="F6" s="2"/>
      <c r="G6" t="s">
        <v>22</v>
      </c>
      <c r="H6" t="s">
        <v>22</v>
      </c>
      <c r="J6" t="s">
        <v>3</v>
      </c>
      <c r="K6">
        <f t="shared" si="1"/>
        <v>511.33333333333348</v>
      </c>
      <c r="L6">
        <f>AVERAGE(K6:K8)</f>
        <v>207.33333333333348</v>
      </c>
      <c r="M6">
        <f>_xlfn.STDEV.P(K6:K8)</f>
        <v>259.93973660574994</v>
      </c>
      <c r="N6">
        <f>D$13-D31</f>
        <v>250.7</v>
      </c>
    </row>
    <row r="7" spans="2:14" x14ac:dyDescent="0.25">
      <c r="B7" t="s">
        <v>4</v>
      </c>
      <c r="C7" s="4">
        <f t="shared" ref="C7:C8" si="2">AVERAGE(C$12:C$14)</f>
        <v>3427.3333333333335</v>
      </c>
      <c r="E7" s="2"/>
      <c r="F7" s="2"/>
      <c r="G7" t="s">
        <v>22</v>
      </c>
      <c r="H7" t="s">
        <v>22</v>
      </c>
      <c r="J7" t="s">
        <v>4</v>
      </c>
      <c r="K7" s="2">
        <f t="shared" si="1"/>
        <v>-123.66666666666652</v>
      </c>
      <c r="N7">
        <f t="shared" ref="N7:N8" si="3">D$13-D32</f>
        <v>27</v>
      </c>
    </row>
    <row r="8" spans="2:14" x14ac:dyDescent="0.25">
      <c r="B8" t="s">
        <v>5</v>
      </c>
      <c r="C8" s="4">
        <f t="shared" si="2"/>
        <v>3427.3333333333335</v>
      </c>
      <c r="E8" s="2"/>
      <c r="F8" s="2"/>
      <c r="G8" t="s">
        <v>22</v>
      </c>
      <c r="H8" t="s">
        <v>22</v>
      </c>
      <c r="J8" t="s">
        <v>5</v>
      </c>
      <c r="K8">
        <f t="shared" si="1"/>
        <v>234.33333333333348</v>
      </c>
      <c r="N8">
        <f t="shared" si="3"/>
        <v>51</v>
      </c>
    </row>
    <row r="9" spans="2:14" x14ac:dyDescent="0.25">
      <c r="B9" t="s">
        <v>6</v>
      </c>
      <c r="C9">
        <f>AVERAGE(2973,3029,2945)</f>
        <v>2982.3333333333335</v>
      </c>
      <c r="E9" s="2"/>
      <c r="F9" s="2"/>
      <c r="G9" t="s">
        <v>22</v>
      </c>
      <c r="H9" t="s">
        <v>22</v>
      </c>
      <c r="J9" t="s">
        <v>6</v>
      </c>
      <c r="K9">
        <f t="shared" si="1"/>
        <v>23.333333333333485</v>
      </c>
      <c r="L9">
        <f>AVERAGE(K9:K11)</f>
        <v>142.66666666666683</v>
      </c>
      <c r="M9">
        <f>_xlfn.STDEV.P(K9:K11)</f>
        <v>140.770104149362</v>
      </c>
    </row>
    <row r="10" spans="2:14" x14ac:dyDescent="0.25">
      <c r="B10" t="s">
        <v>7</v>
      </c>
      <c r="C10" s="4">
        <f t="shared" ref="C10:C11" si="4">AVERAGE(2973,3029,2945)</f>
        <v>2982.3333333333335</v>
      </c>
      <c r="E10" s="2"/>
      <c r="F10" s="2"/>
      <c r="G10" t="s">
        <v>22</v>
      </c>
      <c r="H10" t="s">
        <v>22</v>
      </c>
      <c r="J10" t="s">
        <v>7</v>
      </c>
      <c r="K10">
        <f t="shared" si="1"/>
        <v>340.33333333333348</v>
      </c>
    </row>
    <row r="11" spans="2:14" x14ac:dyDescent="0.25">
      <c r="B11" t="s">
        <v>8</v>
      </c>
      <c r="C11" s="4">
        <f t="shared" si="4"/>
        <v>2982.3333333333335</v>
      </c>
      <c r="E11" s="2"/>
      <c r="F11" s="2"/>
      <c r="G11" t="s">
        <v>22</v>
      </c>
      <c r="H11" t="s">
        <v>22</v>
      </c>
      <c r="J11" t="s">
        <v>8</v>
      </c>
      <c r="K11">
        <f t="shared" si="1"/>
        <v>64.333333333333485</v>
      </c>
    </row>
    <row r="12" spans="2:14" x14ac:dyDescent="0.25">
      <c r="B12" t="s">
        <v>9</v>
      </c>
      <c r="C12">
        <v>3480</v>
      </c>
      <c r="D12" s="2">
        <v>156</v>
      </c>
      <c r="E12" s="2" t="s">
        <v>27</v>
      </c>
      <c r="F12" s="2" t="s">
        <v>27</v>
      </c>
      <c r="G12" t="s">
        <v>22</v>
      </c>
      <c r="H12" t="s">
        <v>22</v>
      </c>
      <c r="J12" t="s">
        <v>9</v>
      </c>
      <c r="K12">
        <f t="shared" si="1"/>
        <v>382</v>
      </c>
      <c r="L12">
        <f>AVERAGE(K12:K14)</f>
        <v>146.33333333333334</v>
      </c>
      <c r="M12">
        <f>_xlfn.STDEV.P(K12:K14)</f>
        <v>409.03164778399344</v>
      </c>
      <c r="N12">
        <f>D12-D37</f>
        <v>-34</v>
      </c>
    </row>
    <row r="13" spans="2:14" x14ac:dyDescent="0.25">
      <c r="B13" t="s">
        <v>10</v>
      </c>
      <c r="C13">
        <v>3611</v>
      </c>
      <c r="D13" s="1">
        <v>262</v>
      </c>
      <c r="E13" s="2" t="s">
        <v>27</v>
      </c>
      <c r="F13" s="2" t="s">
        <v>27</v>
      </c>
      <c r="G13" t="s">
        <v>22</v>
      </c>
      <c r="H13" t="s">
        <v>22</v>
      </c>
      <c r="J13" t="s">
        <v>10</v>
      </c>
      <c r="K13">
        <f t="shared" si="1"/>
        <v>486</v>
      </c>
      <c r="N13">
        <f>D13-D38</f>
        <v>4</v>
      </c>
    </row>
    <row r="14" spans="2:14" x14ac:dyDescent="0.25">
      <c r="B14" t="s">
        <v>11</v>
      </c>
      <c r="C14">
        <v>3191</v>
      </c>
      <c r="D14" s="2">
        <v>12</v>
      </c>
      <c r="E14" s="2" t="s">
        <v>27</v>
      </c>
      <c r="F14" s="2" t="s">
        <v>27</v>
      </c>
      <c r="G14" t="s">
        <v>22</v>
      </c>
      <c r="H14" t="s">
        <v>22</v>
      </c>
      <c r="J14" t="s">
        <v>11</v>
      </c>
      <c r="K14" s="4">
        <f t="shared" si="1"/>
        <v>-429</v>
      </c>
      <c r="N14">
        <f t="shared" ref="N14" si="5">D14-D39</f>
        <v>-307</v>
      </c>
    </row>
    <row r="15" spans="2:14" x14ac:dyDescent="0.25">
      <c r="B15" t="s">
        <v>12</v>
      </c>
      <c r="C15" s="4">
        <f>(Composition!D14/1000 * Chemical!C$19 +Composition!G14 / 1000 * Chemical!C$18) / 0.12</f>
        <v>3246.0192669444446</v>
      </c>
      <c r="E15" s="2"/>
      <c r="F15" s="2"/>
      <c r="G15" t="s">
        <v>22</v>
      </c>
      <c r="H15" t="s">
        <v>22</v>
      </c>
      <c r="J15" t="s">
        <v>12</v>
      </c>
      <c r="K15">
        <f t="shared" si="1"/>
        <v>406.01926694444455</v>
      </c>
      <c r="L15">
        <f>AVERAGE(K15:K17)</f>
        <v>-225.6473997222221</v>
      </c>
      <c r="M15">
        <f>_xlfn.STDEV.P(K15:K17)</f>
        <v>833.92978654613898</v>
      </c>
    </row>
    <row r="16" spans="2:14" x14ac:dyDescent="0.25">
      <c r="B16" t="s">
        <v>13</v>
      </c>
      <c r="C16" s="4">
        <f>(Composition!D15/1000 * Chemical!C$19 +Composition!G15 / 1000 * Chemical!C$18) / 0.12</f>
        <v>3246.0192669444446</v>
      </c>
      <c r="E16" s="2"/>
      <c r="F16" s="2"/>
      <c r="G16" t="s">
        <v>22</v>
      </c>
      <c r="H16" t="s">
        <v>22</v>
      </c>
      <c r="J16" t="s">
        <v>13</v>
      </c>
      <c r="K16">
        <f t="shared" si="1"/>
        <v>321.01926694444455</v>
      </c>
    </row>
    <row r="17" spans="1:11" x14ac:dyDescent="0.25">
      <c r="B17" t="s">
        <v>14</v>
      </c>
      <c r="C17" s="4">
        <f>(Composition!D16/1000 * Chemical!C$19 +Composition!G16 / 1000 * Chemical!C$18) / 0.12</f>
        <v>3246.0192669444446</v>
      </c>
      <c r="E17" s="2"/>
      <c r="F17" s="2"/>
      <c r="G17" t="s">
        <v>22</v>
      </c>
      <c r="H17" t="s">
        <v>22</v>
      </c>
      <c r="J17" t="s">
        <v>14</v>
      </c>
      <c r="K17" s="2">
        <f t="shared" si="1"/>
        <v>-1403.9807330555554</v>
      </c>
    </row>
    <row r="18" spans="1:11" x14ac:dyDescent="0.25">
      <c r="B18" t="s">
        <v>21</v>
      </c>
      <c r="C18">
        <v>5859.5</v>
      </c>
      <c r="E18" s="2"/>
      <c r="F18" s="2"/>
      <c r="G18" t="s">
        <v>22</v>
      </c>
      <c r="H18" t="s">
        <v>22</v>
      </c>
    </row>
    <row r="19" spans="1:11" x14ac:dyDescent="0.25">
      <c r="B19" t="s">
        <v>43</v>
      </c>
      <c r="C19" s="4">
        <f>(0.4115*H19+1.589*G19)*1000</f>
        <v>16019.547766666665</v>
      </c>
      <c r="D19">
        <v>0</v>
      </c>
      <c r="E19" s="2">
        <v>0</v>
      </c>
      <c r="F19" s="2">
        <v>0</v>
      </c>
      <c r="G19">
        <f>(2.47469+0.5002)/0.6</f>
        <v>4.9581499999999998</v>
      </c>
      <c r="H19">
        <f>(9.8908+1.9795)/0.6</f>
        <v>19.783833333333334</v>
      </c>
    </row>
    <row r="21" spans="1:11" x14ac:dyDescent="0.25">
      <c r="A21" s="6"/>
      <c r="B21" s="7" t="s">
        <v>46</v>
      </c>
    </row>
    <row r="23" spans="1:11" x14ac:dyDescent="0.25">
      <c r="B23" t="s">
        <v>44</v>
      </c>
      <c r="C23">
        <f>C19*0.017/0.1</f>
        <v>2723.323120333333</v>
      </c>
      <c r="D23" t="s">
        <v>34</v>
      </c>
    </row>
    <row r="24" spans="1:11" x14ac:dyDescent="0.25">
      <c r="B24" t="s">
        <v>45</v>
      </c>
      <c r="C24">
        <f>(C18*0.02 + C19*0.017)/0.12</f>
        <v>3246.0192669444446</v>
      </c>
      <c r="D24" t="s">
        <v>34</v>
      </c>
    </row>
    <row r="25" spans="1:11" x14ac:dyDescent="0.25">
      <c r="C25">
        <f>C24*0.12/1000</f>
        <v>0.38952231203333332</v>
      </c>
    </row>
    <row r="27" spans="1:11" x14ac:dyDescent="0.25">
      <c r="B27" s="1" t="s">
        <v>52</v>
      </c>
      <c r="C27" s="1" t="s">
        <v>24</v>
      </c>
      <c r="D27" s="1" t="s">
        <v>23</v>
      </c>
      <c r="E27" s="2" t="s">
        <v>25</v>
      </c>
      <c r="F27" s="2" t="s">
        <v>26</v>
      </c>
      <c r="G27" s="1" t="s">
        <v>41</v>
      </c>
      <c r="H27" s="1" t="s">
        <v>42</v>
      </c>
      <c r="I27" s="1" t="s">
        <v>58</v>
      </c>
    </row>
    <row r="28" spans="1:11" x14ac:dyDescent="0.25">
      <c r="B28" t="s">
        <v>0</v>
      </c>
      <c r="C28">
        <v>825</v>
      </c>
      <c r="D28" t="s">
        <v>22</v>
      </c>
      <c r="E28" s="2" t="s">
        <v>22</v>
      </c>
      <c r="F28" s="2" t="s">
        <v>22</v>
      </c>
      <c r="G28" t="s">
        <v>22</v>
      </c>
      <c r="H28" t="s">
        <v>22</v>
      </c>
      <c r="I28">
        <v>7.18</v>
      </c>
      <c r="J28">
        <f>AVERAGE(I28:I30)</f>
        <v>7.2433333333333332</v>
      </c>
      <c r="K28">
        <f>_xlfn.STDEV.P(I28:I30)</f>
        <v>4.9216076867444725E-2</v>
      </c>
    </row>
    <row r="29" spans="1:11" x14ac:dyDescent="0.25">
      <c r="B29" t="s">
        <v>1</v>
      </c>
      <c r="C29">
        <v>754</v>
      </c>
      <c r="D29" t="s">
        <v>22</v>
      </c>
      <c r="E29" s="2" t="s">
        <v>22</v>
      </c>
      <c r="F29" s="2" t="s">
        <v>22</v>
      </c>
      <c r="G29" t="s">
        <v>22</v>
      </c>
      <c r="H29" t="s">
        <v>22</v>
      </c>
      <c r="I29">
        <v>7.25</v>
      </c>
    </row>
    <row r="30" spans="1:11" x14ac:dyDescent="0.25">
      <c r="B30" t="s">
        <v>2</v>
      </c>
      <c r="C30">
        <v>799</v>
      </c>
      <c r="D30" t="s">
        <v>22</v>
      </c>
      <c r="E30" s="2" t="s">
        <v>22</v>
      </c>
      <c r="F30" s="2" t="s">
        <v>22</v>
      </c>
      <c r="G30" t="s">
        <v>22</v>
      </c>
      <c r="H30" t="s">
        <v>22</v>
      </c>
      <c r="I30">
        <v>7.3</v>
      </c>
    </row>
    <row r="31" spans="1:11" x14ac:dyDescent="0.25">
      <c r="B31" t="s">
        <v>3</v>
      </c>
      <c r="C31" s="4">
        <v>2916</v>
      </c>
      <c r="D31" s="2">
        <v>11.3</v>
      </c>
      <c r="E31" s="2"/>
      <c r="F31" s="2"/>
      <c r="G31" t="s">
        <v>22</v>
      </c>
      <c r="H31" t="s">
        <v>22</v>
      </c>
      <c r="I31">
        <v>7.8</v>
      </c>
      <c r="J31">
        <f t="shared" ref="J31:J40" si="6">AVERAGE(I31:I33)</f>
        <v>7.7633333333333328</v>
      </c>
      <c r="K31">
        <f t="shared" ref="K31:K40" si="7">_xlfn.STDEV.P(I31:I33)</f>
        <v>2.6246692913372557E-2</v>
      </c>
    </row>
    <row r="32" spans="1:11" x14ac:dyDescent="0.25">
      <c r="B32" t="s">
        <v>4</v>
      </c>
      <c r="C32" s="4">
        <v>3551</v>
      </c>
      <c r="D32" s="2">
        <v>235</v>
      </c>
      <c r="E32" s="2"/>
      <c r="F32" s="2"/>
      <c r="G32" t="s">
        <v>22</v>
      </c>
      <c r="H32" t="s">
        <v>22</v>
      </c>
      <c r="I32">
        <v>7.75</v>
      </c>
    </row>
    <row r="33" spans="2:11" x14ac:dyDescent="0.25">
      <c r="B33" t="s">
        <v>5</v>
      </c>
      <c r="C33" s="4">
        <v>3193</v>
      </c>
      <c r="D33" s="2">
        <v>211</v>
      </c>
      <c r="E33" s="2"/>
      <c r="F33" s="2"/>
      <c r="G33" t="s">
        <v>22</v>
      </c>
      <c r="H33" t="s">
        <v>22</v>
      </c>
      <c r="I33">
        <v>7.74</v>
      </c>
    </row>
    <row r="34" spans="2:11" x14ac:dyDescent="0.25">
      <c r="B34" t="s">
        <v>6</v>
      </c>
      <c r="C34">
        <v>2959</v>
      </c>
      <c r="D34" s="2">
        <v>164</v>
      </c>
      <c r="E34" s="2"/>
      <c r="F34" s="2"/>
      <c r="G34" t="s">
        <v>22</v>
      </c>
      <c r="H34" t="s">
        <v>22</v>
      </c>
      <c r="I34">
        <v>6.12</v>
      </c>
      <c r="J34">
        <f t="shared" si="6"/>
        <v>6.1533333333333333</v>
      </c>
      <c r="K34">
        <f t="shared" si="7"/>
        <v>2.3570226039551501E-2</v>
      </c>
    </row>
    <row r="35" spans="2:11" x14ac:dyDescent="0.25">
      <c r="B35" t="s">
        <v>7</v>
      </c>
      <c r="C35" s="4">
        <v>2642</v>
      </c>
      <c r="D35" s="2">
        <v>166</v>
      </c>
      <c r="E35" s="2"/>
      <c r="F35" s="2"/>
      <c r="G35" t="s">
        <v>22</v>
      </c>
      <c r="H35" t="s">
        <v>22</v>
      </c>
      <c r="I35">
        <v>6.17</v>
      </c>
    </row>
    <row r="36" spans="2:11" x14ac:dyDescent="0.25">
      <c r="B36" t="s">
        <v>8</v>
      </c>
      <c r="C36" s="4">
        <v>2918</v>
      </c>
      <c r="D36">
        <v>268</v>
      </c>
      <c r="E36" s="2"/>
      <c r="F36" s="2"/>
      <c r="G36" t="s">
        <v>22</v>
      </c>
      <c r="H36" t="s">
        <v>22</v>
      </c>
      <c r="I36">
        <v>6.17</v>
      </c>
    </row>
    <row r="37" spans="2:11" x14ac:dyDescent="0.25">
      <c r="B37" t="s">
        <v>9</v>
      </c>
      <c r="C37">
        <v>3098</v>
      </c>
      <c r="D37" s="2">
        <v>190</v>
      </c>
      <c r="E37" s="2" t="s">
        <v>27</v>
      </c>
      <c r="F37" s="2" t="s">
        <v>27</v>
      </c>
      <c r="G37" t="s">
        <v>22</v>
      </c>
      <c r="H37" t="s">
        <v>22</v>
      </c>
      <c r="I37">
        <v>7.25</v>
      </c>
      <c r="J37">
        <f t="shared" si="6"/>
        <v>7.07</v>
      </c>
      <c r="K37">
        <f t="shared" si="7"/>
        <v>0.1283225103661344</v>
      </c>
    </row>
    <row r="38" spans="2:11" x14ac:dyDescent="0.25">
      <c r="B38" t="s">
        <v>10</v>
      </c>
      <c r="C38">
        <v>3125</v>
      </c>
      <c r="D38" s="1">
        <v>258</v>
      </c>
      <c r="E38" s="2" t="s">
        <v>27</v>
      </c>
      <c r="F38" s="2" t="s">
        <v>27</v>
      </c>
      <c r="G38" t="s">
        <v>22</v>
      </c>
      <c r="H38" t="s">
        <v>22</v>
      </c>
      <c r="I38">
        <v>7</v>
      </c>
    </row>
    <row r="39" spans="2:11" x14ac:dyDescent="0.25">
      <c r="B39" t="s">
        <v>11</v>
      </c>
      <c r="C39">
        <v>3620</v>
      </c>
      <c r="D39" s="2">
        <v>319</v>
      </c>
      <c r="E39" s="2" t="s">
        <v>27</v>
      </c>
      <c r="F39" s="2" t="s">
        <v>27</v>
      </c>
      <c r="G39" t="s">
        <v>22</v>
      </c>
      <c r="H39" t="s">
        <v>22</v>
      </c>
      <c r="I39">
        <v>6.96</v>
      </c>
    </row>
    <row r="40" spans="2:11" x14ac:dyDescent="0.25">
      <c r="B40" t="s">
        <v>12</v>
      </c>
      <c r="C40" s="4">
        <v>2840</v>
      </c>
      <c r="D40" t="s">
        <v>22</v>
      </c>
      <c r="E40" s="2"/>
      <c r="F40" s="2"/>
      <c r="G40" t="s">
        <v>22</v>
      </c>
      <c r="H40" t="s">
        <v>22</v>
      </c>
      <c r="I40">
        <v>5.59</v>
      </c>
      <c r="J40">
        <f t="shared" si="6"/>
        <v>5.8033333333333337</v>
      </c>
      <c r="K40">
        <f t="shared" si="7"/>
        <v>0.24729649321321898</v>
      </c>
    </row>
    <row r="41" spans="2:11" x14ac:dyDescent="0.25">
      <c r="B41" t="s">
        <v>13</v>
      </c>
      <c r="C41" s="4">
        <v>2925</v>
      </c>
      <c r="D41" t="s">
        <v>22</v>
      </c>
      <c r="E41" s="2"/>
      <c r="F41" s="2"/>
      <c r="G41" t="s">
        <v>22</v>
      </c>
      <c r="H41" t="s">
        <v>22</v>
      </c>
      <c r="I41">
        <v>5.67</v>
      </c>
    </row>
    <row r="42" spans="2:11" x14ac:dyDescent="0.25">
      <c r="B42" t="s">
        <v>14</v>
      </c>
      <c r="C42" s="4">
        <v>4650</v>
      </c>
      <c r="D42" t="s">
        <v>22</v>
      </c>
      <c r="E42" s="2"/>
      <c r="F42" s="2"/>
      <c r="G42" t="s">
        <v>22</v>
      </c>
      <c r="H42" t="s">
        <v>22</v>
      </c>
      <c r="I42">
        <v>6.15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08D4-0B36-468B-9614-DBD1CDC4C71C}">
  <dimension ref="A1:R46"/>
  <sheetViews>
    <sheetView tabSelected="1" topLeftCell="A7" workbookViewId="0">
      <selection activeCell="Q10" sqref="Q10"/>
    </sheetView>
  </sheetViews>
  <sheetFormatPr defaultRowHeight="15" x14ac:dyDescent="0.25"/>
  <cols>
    <col min="2" max="2" width="16" customWidth="1"/>
    <col min="8" max="8" width="12" bestFit="1" customWidth="1"/>
    <col min="9" max="9" width="19.85546875" customWidth="1"/>
    <col min="11" max="11" width="24.7109375" customWidth="1"/>
    <col min="13" max="13" width="19.28515625" customWidth="1"/>
    <col min="15" max="15" width="18.140625" customWidth="1"/>
  </cols>
  <sheetData>
    <row r="1" spans="1:18" x14ac:dyDescent="0.25">
      <c r="A1" s="1" t="s">
        <v>39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18" x14ac:dyDescent="0.25">
      <c r="B2">
        <v>5</v>
      </c>
      <c r="C2">
        <v>2.6301000000000001</v>
      </c>
      <c r="D2">
        <v>2.6261000000000001</v>
      </c>
      <c r="E2">
        <v>2.6204999999999998</v>
      </c>
      <c r="F2">
        <f>D2-C2</f>
        <v>-4.0000000000000036E-3</v>
      </c>
      <c r="G2">
        <f>D2-E2</f>
        <v>5.6000000000002714E-3</v>
      </c>
      <c r="H2" s="1" t="s">
        <v>33</v>
      </c>
      <c r="I2">
        <f>F6/(B6/1000)</f>
        <v>-0.37333333333335139</v>
      </c>
      <c r="J2" t="s">
        <v>34</v>
      </c>
      <c r="K2" t="s">
        <v>35</v>
      </c>
      <c r="M2">
        <f xml:space="preserve"> (0.02 * I3) / 0.12</f>
        <v>0.18777777777777435</v>
      </c>
      <c r="N2" t="s">
        <v>34</v>
      </c>
    </row>
    <row r="3" spans="1:18" x14ac:dyDescent="0.25">
      <c r="B3">
        <v>5</v>
      </c>
      <c r="C3">
        <v>2.6505000000000001</v>
      </c>
      <c r="D3">
        <v>2.6448999999999998</v>
      </c>
      <c r="E3">
        <v>2.6398000000000001</v>
      </c>
      <c r="F3">
        <f>D3-C3</f>
        <v>-5.6000000000002714E-3</v>
      </c>
      <c r="G3">
        <f t="shared" ref="G3" si="0">D3-E3</f>
        <v>5.0999999999996604E-3</v>
      </c>
      <c r="H3" s="1" t="s">
        <v>36</v>
      </c>
      <c r="I3">
        <f>G6/(B6/1000)</f>
        <v>1.1266666666666461</v>
      </c>
      <c r="J3" t="s">
        <v>34</v>
      </c>
      <c r="M3">
        <f>M2*0.12</f>
        <v>2.2533333333332923E-2</v>
      </c>
      <c r="N3" t="s">
        <v>40</v>
      </c>
    </row>
    <row r="4" spans="1:18" x14ac:dyDescent="0.25">
      <c r="B4">
        <v>5</v>
      </c>
      <c r="C4">
        <v>2.6374</v>
      </c>
      <c r="D4">
        <v>2.6414</v>
      </c>
      <c r="E4">
        <v>2.6352000000000002</v>
      </c>
      <c r="F4">
        <f>D4-C4</f>
        <v>4.0000000000000036E-3</v>
      </c>
      <c r="G4">
        <f>D4-E4</f>
        <v>6.1999999999997613E-3</v>
      </c>
    </row>
    <row r="6" spans="1:18" x14ac:dyDescent="0.25">
      <c r="A6" t="s">
        <v>37</v>
      </c>
      <c r="B6">
        <f t="shared" ref="B6:G6" si="1">AVERAGE(B2:B4)</f>
        <v>5</v>
      </c>
      <c r="C6">
        <f t="shared" si="1"/>
        <v>2.6393333333333331</v>
      </c>
      <c r="D6">
        <f t="shared" si="1"/>
        <v>2.6374666666666666</v>
      </c>
      <c r="E6">
        <f t="shared" si="1"/>
        <v>2.6318333333333332</v>
      </c>
      <c r="F6">
        <f t="shared" si="1"/>
        <v>-1.8666666666667571E-3</v>
      </c>
      <c r="G6">
        <f t="shared" si="1"/>
        <v>5.6333333333332307E-3</v>
      </c>
    </row>
    <row r="7" spans="1:18" x14ac:dyDescent="0.25">
      <c r="A7" t="s">
        <v>38</v>
      </c>
      <c r="B7">
        <f t="shared" ref="B7:G7" si="2">AVEDEV(B2:B4)</f>
        <v>0</v>
      </c>
      <c r="C7">
        <f t="shared" si="2"/>
        <v>7.4444444444443647E-3</v>
      </c>
      <c r="D7">
        <f t="shared" si="2"/>
        <v>7.5777777777776834E-3</v>
      </c>
      <c r="E7">
        <f t="shared" si="2"/>
        <v>7.5555555555557596E-3</v>
      </c>
      <c r="F7">
        <f t="shared" si="2"/>
        <v>3.9111111111111742E-3</v>
      </c>
      <c r="G7">
        <f t="shared" si="2"/>
        <v>3.7777777777768675E-4</v>
      </c>
    </row>
    <row r="9" spans="1:18" x14ac:dyDescent="0.25">
      <c r="A9" s="1" t="s">
        <v>66</v>
      </c>
      <c r="B9" s="1" t="s">
        <v>67</v>
      </c>
      <c r="C9" s="1" t="s">
        <v>68</v>
      </c>
      <c r="D9" s="1" t="s">
        <v>69</v>
      </c>
      <c r="E9" s="1" t="s">
        <v>70</v>
      </c>
      <c r="F9" s="1" t="s">
        <v>71</v>
      </c>
      <c r="G9" s="1" t="s">
        <v>72</v>
      </c>
      <c r="H9" s="1" t="s">
        <v>73</v>
      </c>
      <c r="I9" s="1" t="s">
        <v>75</v>
      </c>
      <c r="J9" s="1" t="s">
        <v>74</v>
      </c>
      <c r="K9" s="1" t="s">
        <v>76</v>
      </c>
      <c r="L9" s="1" t="s">
        <v>73</v>
      </c>
      <c r="M9" s="1" t="s">
        <v>75</v>
      </c>
      <c r="N9" s="1" t="s">
        <v>74</v>
      </c>
      <c r="O9" s="1" t="s">
        <v>76</v>
      </c>
      <c r="P9" s="1" t="s">
        <v>79</v>
      </c>
      <c r="Q9" s="1" t="s">
        <v>103</v>
      </c>
    </row>
    <row r="10" spans="1:18" x14ac:dyDescent="0.25">
      <c r="A10" t="s">
        <v>0</v>
      </c>
      <c r="B10">
        <v>20</v>
      </c>
      <c r="C10">
        <v>2.6204000000000001</v>
      </c>
      <c r="D10">
        <v>2.6208</v>
      </c>
      <c r="E10">
        <v>2.6160000000000001</v>
      </c>
      <c r="F10">
        <f>D10-C10</f>
        <v>3.9999999999995595E-4</v>
      </c>
      <c r="G10">
        <f>D10-E10</f>
        <v>4.7999999999999154E-3</v>
      </c>
      <c r="P10">
        <f>AVERAGE(G10:G11)*(1/0.12)-M$3</f>
        <v>1.5799999999999894E-2</v>
      </c>
    </row>
    <row r="11" spans="1:18" x14ac:dyDescent="0.25">
      <c r="B11">
        <v>20</v>
      </c>
      <c r="C11">
        <v>2.629</v>
      </c>
      <c r="D11">
        <v>2.6288</v>
      </c>
      <c r="E11">
        <v>2.6244000000000001</v>
      </c>
      <c r="F11">
        <f t="shared" ref="F11:F39" si="3">D11-C11</f>
        <v>-1.9999999999997797E-4</v>
      </c>
      <c r="G11">
        <f t="shared" ref="G11:G39" si="4">D11-E11</f>
        <v>4.3999999999999595E-3</v>
      </c>
      <c r="H11">
        <f>AVERAGE(F10:F11)/B11 *1000</f>
        <v>4.9999999999994493E-3</v>
      </c>
      <c r="I11">
        <f>AVEDEV(F10:F11)/B11*1000</f>
        <v>1.4999999999998348E-2</v>
      </c>
      <c r="J11">
        <f>AVERAGE(G10:G11)/B11*1000</f>
        <v>0.22999999999999687</v>
      </c>
      <c r="K11">
        <f>AVEDEV(G10:G11)/B11*1000</f>
        <v>9.9999999999988987E-3</v>
      </c>
    </row>
    <row r="12" spans="1:18" x14ac:dyDescent="0.25">
      <c r="A12" t="s">
        <v>1</v>
      </c>
      <c r="B12">
        <v>20</v>
      </c>
      <c r="C12">
        <v>2.6202999999999999</v>
      </c>
      <c r="D12">
        <v>2.6202999999999999</v>
      </c>
      <c r="E12">
        <v>2.6154999999999999</v>
      </c>
      <c r="F12">
        <f t="shared" si="3"/>
        <v>0</v>
      </c>
      <c r="G12">
        <f t="shared" si="4"/>
        <v>4.7999999999999154E-3</v>
      </c>
      <c r="P12">
        <f t="shared" ref="P12:P38" si="5">AVERAGE(G12:G13)*(1/0.12)-M$3</f>
        <v>1.6633333333333136E-2</v>
      </c>
    </row>
    <row r="13" spans="1:18" x14ac:dyDescent="0.25">
      <c r="B13">
        <v>20</v>
      </c>
      <c r="C13">
        <v>2.6640000000000001</v>
      </c>
      <c r="D13">
        <v>2.6642000000000001</v>
      </c>
      <c r="E13">
        <v>2.6596000000000002</v>
      </c>
      <c r="F13">
        <f t="shared" si="3"/>
        <v>1.9999999999997797E-4</v>
      </c>
      <c r="G13">
        <f t="shared" si="4"/>
        <v>4.5999999999999375E-3</v>
      </c>
      <c r="H13">
        <f t="shared" ref="H13:H39" si="6">AVERAGE(F12:F13)/B13 *1000</f>
        <v>4.9999999999994493E-3</v>
      </c>
      <c r="I13">
        <f t="shared" ref="I13:I39" si="7">AVEDEV(F12:F13)/B13*1000</f>
        <v>4.9999999999994493E-3</v>
      </c>
      <c r="J13">
        <f t="shared" ref="J13:J39" si="8">AVERAGE(G12:G13)/B13*1000</f>
        <v>0.23499999999999632</v>
      </c>
      <c r="K13">
        <f t="shared" ref="K13:K39" si="9">AVEDEV(G12:G13)/B13*1000</f>
        <v>4.9999999999994493E-3</v>
      </c>
    </row>
    <row r="14" spans="1:18" x14ac:dyDescent="0.25">
      <c r="A14" t="s">
        <v>2</v>
      </c>
      <c r="B14">
        <v>20</v>
      </c>
      <c r="C14">
        <v>2.6162000000000001</v>
      </c>
      <c r="D14">
        <v>2.6160999999999999</v>
      </c>
      <c r="E14">
        <v>2.6114999999999999</v>
      </c>
      <c r="F14">
        <f t="shared" si="3"/>
        <v>-1.0000000000021103E-4</v>
      </c>
      <c r="G14">
        <f t="shared" si="4"/>
        <v>4.5999999999999375E-3</v>
      </c>
      <c r="P14">
        <f t="shared" si="5"/>
        <v>1.4550000000000955E-2</v>
      </c>
    </row>
    <row r="15" spans="1:18" x14ac:dyDescent="0.25">
      <c r="B15">
        <v>20</v>
      </c>
      <c r="C15">
        <v>2.6212</v>
      </c>
      <c r="D15">
        <v>2.6213000000000002</v>
      </c>
      <c r="E15">
        <v>2.617</v>
      </c>
      <c r="F15">
        <f t="shared" si="3"/>
        <v>1.0000000000021103E-4</v>
      </c>
      <c r="G15">
        <f t="shared" si="4"/>
        <v>4.3000000000001926E-3</v>
      </c>
      <c r="H15">
        <f t="shared" si="6"/>
        <v>0</v>
      </c>
      <c r="I15">
        <f t="shared" si="7"/>
        <v>5.0000000000105516E-3</v>
      </c>
      <c r="J15">
        <f t="shared" si="8"/>
        <v>0.22250000000000325</v>
      </c>
      <c r="K15">
        <f t="shared" si="9"/>
        <v>7.4999999999936229E-3</v>
      </c>
      <c r="L15">
        <f>AVERAGE(H11:H15)</f>
        <v>3.3333333333329662E-3</v>
      </c>
      <c r="M15">
        <f>AVEDEV(H11:H15)</f>
        <v>2.2222222222219776E-3</v>
      </c>
      <c r="N15">
        <f>AVERAGE(J11:J15)</f>
        <v>0.22916666666666549</v>
      </c>
      <c r="O15">
        <f>AVEDEV(J11:J15)</f>
        <v>4.444444444441485E-3</v>
      </c>
      <c r="Q15">
        <f>(N15-M$2)/M$2* 100</f>
        <v>22.041420118344796</v>
      </c>
      <c r="R15">
        <f>_xlfn.STDEV.P(P10:P14)</f>
        <v>8.5616861152297552E-4</v>
      </c>
    </row>
    <row r="16" spans="1:18" x14ac:dyDescent="0.25">
      <c r="A16" t="s">
        <v>3</v>
      </c>
      <c r="B16">
        <v>20</v>
      </c>
      <c r="C16">
        <v>2.6265999999999998</v>
      </c>
      <c r="D16">
        <v>2.6301000000000001</v>
      </c>
      <c r="E16">
        <v>2.6251000000000002</v>
      </c>
      <c r="F16">
        <f t="shared" si="3"/>
        <v>3.5000000000002807E-3</v>
      </c>
      <c r="G16">
        <f t="shared" si="4"/>
        <v>4.9999999999998934E-3</v>
      </c>
      <c r="P16">
        <f t="shared" si="5"/>
        <v>1.871666666666531E-2</v>
      </c>
    </row>
    <row r="17" spans="1:18" x14ac:dyDescent="0.25">
      <c r="B17">
        <v>20</v>
      </c>
      <c r="C17">
        <v>2.6528999999999998</v>
      </c>
      <c r="D17">
        <v>2.6566999999999998</v>
      </c>
      <c r="E17">
        <v>2.6518000000000002</v>
      </c>
      <c r="F17">
        <f t="shared" si="3"/>
        <v>3.8000000000000256E-3</v>
      </c>
      <c r="G17">
        <f t="shared" si="4"/>
        <v>4.8999999999996824E-3</v>
      </c>
      <c r="H17">
        <f t="shared" si="6"/>
        <v>0.18250000000000766</v>
      </c>
      <c r="I17">
        <f t="shared" si="7"/>
        <v>7.4999999999936229E-3</v>
      </c>
      <c r="J17">
        <f t="shared" si="8"/>
        <v>0.24749999999998937</v>
      </c>
      <c r="K17">
        <f t="shared" si="9"/>
        <v>2.5000000000052758E-3</v>
      </c>
    </row>
    <row r="18" spans="1:18" x14ac:dyDescent="0.25">
      <c r="A18" t="s">
        <v>4</v>
      </c>
      <c r="B18">
        <v>20</v>
      </c>
      <c r="C18">
        <v>2.6682999999999999</v>
      </c>
      <c r="D18">
        <v>2.6888999999999998</v>
      </c>
      <c r="E18">
        <v>2.6768999999999998</v>
      </c>
      <c r="F18">
        <f t="shared" si="3"/>
        <v>2.0599999999999952E-2</v>
      </c>
      <c r="G18">
        <f t="shared" si="4"/>
        <v>1.2000000000000011E-2</v>
      </c>
      <c r="P18">
        <f t="shared" si="5"/>
        <v>7.58000000000007E-2</v>
      </c>
    </row>
    <row r="19" spans="1:18" x14ac:dyDescent="0.25">
      <c r="B19">
        <v>20</v>
      </c>
      <c r="C19">
        <v>2.5870000000000002</v>
      </c>
      <c r="D19">
        <v>2.6073</v>
      </c>
      <c r="E19">
        <v>2.5956999999999999</v>
      </c>
      <c r="F19">
        <f t="shared" si="3"/>
        <v>2.0299999999999763E-2</v>
      </c>
      <c r="G19">
        <f t="shared" si="4"/>
        <v>1.1600000000000055E-2</v>
      </c>
      <c r="H19">
        <f t="shared" si="6"/>
        <v>1.0224999999999929</v>
      </c>
      <c r="I19">
        <f t="shared" si="7"/>
        <v>7.5000000000047251E-3</v>
      </c>
      <c r="J19">
        <f t="shared" si="8"/>
        <v>0.59000000000000163</v>
      </c>
      <c r="K19">
        <f t="shared" si="9"/>
        <v>9.9999999999988987E-3</v>
      </c>
    </row>
    <row r="20" spans="1:18" x14ac:dyDescent="0.25">
      <c r="A20" t="s">
        <v>5</v>
      </c>
      <c r="B20">
        <v>20</v>
      </c>
      <c r="C20">
        <v>2.6962999999999999</v>
      </c>
      <c r="D20">
        <v>2.7199</v>
      </c>
      <c r="E20">
        <v>2.7071999999999998</v>
      </c>
      <c r="F20">
        <f t="shared" si="3"/>
        <v>2.3600000000000065E-2</v>
      </c>
      <c r="G20">
        <f t="shared" si="4"/>
        <v>1.2700000000000156E-2</v>
      </c>
      <c r="P20">
        <f t="shared" si="5"/>
        <v>8.2883333333334169E-2</v>
      </c>
    </row>
    <row r="21" spans="1:18" x14ac:dyDescent="0.25">
      <c r="B21">
        <v>20</v>
      </c>
      <c r="C21">
        <v>2.5487000000000002</v>
      </c>
      <c r="D21">
        <v>2.5741999999999998</v>
      </c>
      <c r="E21">
        <v>2.5615999999999999</v>
      </c>
      <c r="F21">
        <f t="shared" si="3"/>
        <v>2.5499999999999634E-2</v>
      </c>
      <c r="G21">
        <f t="shared" si="4"/>
        <v>1.2599999999999945E-2</v>
      </c>
      <c r="H21">
        <f t="shared" si="6"/>
        <v>1.2274999999999925</v>
      </c>
      <c r="I21">
        <f t="shared" si="7"/>
        <v>4.7499999999989218E-2</v>
      </c>
      <c r="J21">
        <f t="shared" si="8"/>
        <v>0.6325000000000025</v>
      </c>
      <c r="K21">
        <f t="shared" si="9"/>
        <v>2.5000000000052758E-3</v>
      </c>
      <c r="L21">
        <f>AVERAGE(H17:H21)</f>
        <v>0.81083333333333096</v>
      </c>
      <c r="M21">
        <f t="shared" ref="M21:M39" si="10">AVEDEV(H17:H21)</f>
        <v>0.41888888888888226</v>
      </c>
      <c r="N21">
        <f t="shared" ref="N21:N39" si="11">AVERAGE(J17:J21)</f>
        <v>0.48999999999999783</v>
      </c>
      <c r="O21">
        <f t="shared" ref="O21:O39" si="12">AVEDEV(J17:J21)</f>
        <v>0.16166666666667232</v>
      </c>
      <c r="Q21">
        <f t="shared" ref="Q16:Q33" si="13">(N21-M$2)/M$2* 100</f>
        <v>160.9467455621338</v>
      </c>
      <c r="R21">
        <f t="shared" ref="R21:R39" si="14">_xlfn.STDEV.P(P16:P20)</f>
        <v>2.8724827949716227E-2</v>
      </c>
    </row>
    <row r="22" spans="1:18" x14ac:dyDescent="0.25">
      <c r="A22" t="s">
        <v>6</v>
      </c>
      <c r="B22">
        <v>20</v>
      </c>
      <c r="C22">
        <v>2.6564999999999999</v>
      </c>
      <c r="D22">
        <v>2.6558999999999999</v>
      </c>
      <c r="E22">
        <v>2.6522000000000001</v>
      </c>
      <c r="F22">
        <f t="shared" si="3"/>
        <v>-5.9999999999993392E-4</v>
      </c>
      <c r="G22">
        <f t="shared" si="4"/>
        <v>3.6999999999998145E-3</v>
      </c>
      <c r="P22">
        <f t="shared" si="5"/>
        <v>9.5499999999996525E-3</v>
      </c>
    </row>
    <row r="23" spans="1:18" x14ac:dyDescent="0.25">
      <c r="B23">
        <v>20</v>
      </c>
      <c r="C23">
        <v>2.5802</v>
      </c>
      <c r="D23">
        <v>2.5804</v>
      </c>
      <c r="E23">
        <v>2.5764</v>
      </c>
      <c r="F23">
        <f t="shared" si="3"/>
        <v>1.9999999999997797E-4</v>
      </c>
      <c r="G23">
        <f t="shared" si="4"/>
        <v>4.0000000000000036E-3</v>
      </c>
      <c r="H23">
        <f t="shared" si="6"/>
        <v>-9.9999999999988987E-3</v>
      </c>
      <c r="I23">
        <f t="shared" si="7"/>
        <v>1.9999999999997797E-2</v>
      </c>
      <c r="J23">
        <f t="shared" si="8"/>
        <v>0.19249999999999545</v>
      </c>
      <c r="K23">
        <f t="shared" si="9"/>
        <v>7.5000000000047251E-3</v>
      </c>
    </row>
    <row r="24" spans="1:18" x14ac:dyDescent="0.25">
      <c r="A24" t="s">
        <v>7</v>
      </c>
      <c r="B24">
        <v>20</v>
      </c>
      <c r="C24">
        <v>2.7170999999999998</v>
      </c>
      <c r="D24">
        <v>2.7267999999999999</v>
      </c>
      <c r="E24">
        <v>2.7187999999999999</v>
      </c>
      <c r="F24">
        <f t="shared" si="3"/>
        <v>9.7000000000000419E-3</v>
      </c>
      <c r="G24">
        <f t="shared" si="4"/>
        <v>8.0000000000000071E-3</v>
      </c>
      <c r="P24">
        <f t="shared" si="5"/>
        <v>4.4966666666667057E-2</v>
      </c>
    </row>
    <row r="25" spans="1:18" x14ac:dyDescent="0.25">
      <c r="B25">
        <v>20</v>
      </c>
      <c r="C25">
        <v>2.7389000000000001</v>
      </c>
      <c r="D25">
        <v>2.7498999999999998</v>
      </c>
      <c r="E25">
        <v>2.7416999999999998</v>
      </c>
      <c r="F25">
        <f t="shared" si="3"/>
        <v>1.0999999999999677E-2</v>
      </c>
      <c r="G25">
        <f t="shared" si="4"/>
        <v>8.1999999999999851E-3</v>
      </c>
      <c r="H25">
        <f t="shared" si="6"/>
        <v>0.51749999999999297</v>
      </c>
      <c r="I25">
        <f t="shared" si="7"/>
        <v>3.249999999999087E-2</v>
      </c>
      <c r="J25">
        <f t="shared" si="8"/>
        <v>0.4049999999999998</v>
      </c>
      <c r="K25">
        <f t="shared" si="9"/>
        <v>4.9999999999994493E-3</v>
      </c>
    </row>
    <row r="26" spans="1:18" x14ac:dyDescent="0.25">
      <c r="A26" t="s">
        <v>8</v>
      </c>
      <c r="B26">
        <v>20</v>
      </c>
      <c r="C26">
        <v>2.6183999999999998</v>
      </c>
      <c r="D26">
        <v>2.6301000000000001</v>
      </c>
      <c r="E26">
        <v>2.621</v>
      </c>
      <c r="F26">
        <f t="shared" si="3"/>
        <v>1.1700000000000266E-2</v>
      </c>
      <c r="G26">
        <f t="shared" si="4"/>
        <v>9.100000000000108E-3</v>
      </c>
      <c r="P26">
        <f t="shared" si="5"/>
        <v>5.2050000000002386E-2</v>
      </c>
    </row>
    <row r="27" spans="1:18" x14ac:dyDescent="0.25">
      <c r="B27">
        <v>20</v>
      </c>
      <c r="C27">
        <v>2.601</v>
      </c>
      <c r="D27">
        <v>2.6131000000000002</v>
      </c>
      <c r="E27">
        <v>2.6042999999999998</v>
      </c>
      <c r="F27">
        <f t="shared" si="3"/>
        <v>1.2100000000000222E-2</v>
      </c>
      <c r="G27">
        <f t="shared" si="4"/>
        <v>8.8000000000003631E-3</v>
      </c>
      <c r="H27">
        <f t="shared" si="6"/>
        <v>0.59500000000001219</v>
      </c>
      <c r="I27">
        <f t="shared" si="7"/>
        <v>9.9999999999988987E-3</v>
      </c>
      <c r="J27">
        <f t="shared" si="8"/>
        <v>0.44750000000001178</v>
      </c>
      <c r="K27">
        <f t="shared" si="9"/>
        <v>7.4999999999936229E-3</v>
      </c>
      <c r="L27">
        <f t="shared" ref="L27:L39" si="15">AVERAGE(H23:H27)</f>
        <v>0.3675000000000021</v>
      </c>
      <c r="M27">
        <f t="shared" si="10"/>
        <v>0.25166666666666732</v>
      </c>
      <c r="N27">
        <f t="shared" si="11"/>
        <v>0.34833333333333566</v>
      </c>
      <c r="O27">
        <f t="shared" si="12"/>
        <v>0.10388888888889349</v>
      </c>
      <c r="Q27">
        <f t="shared" si="13"/>
        <v>85.502958579886283</v>
      </c>
      <c r="R27">
        <f t="shared" si="14"/>
        <v>1.8591407480306594E-2</v>
      </c>
    </row>
    <row r="28" spans="1:18" x14ac:dyDescent="0.25">
      <c r="A28" t="s">
        <v>9</v>
      </c>
      <c r="B28">
        <v>20</v>
      </c>
      <c r="C28">
        <v>2.6537000000000002</v>
      </c>
      <c r="D28">
        <v>5.0353000000000003</v>
      </c>
      <c r="E28">
        <v>4.8848000000000003</v>
      </c>
      <c r="F28">
        <f t="shared" si="3"/>
        <v>2.3816000000000002</v>
      </c>
      <c r="G28">
        <f t="shared" si="4"/>
        <v>0.15050000000000008</v>
      </c>
      <c r="P28" s="2"/>
    </row>
    <row r="29" spans="1:18" x14ac:dyDescent="0.25">
      <c r="B29">
        <v>20</v>
      </c>
      <c r="C29">
        <v>2.645</v>
      </c>
      <c r="D29">
        <v>5.0785999999999998</v>
      </c>
      <c r="E29">
        <v>4.8952</v>
      </c>
      <c r="F29">
        <f t="shared" si="3"/>
        <v>2.4335999999999998</v>
      </c>
      <c r="G29">
        <f t="shared" si="4"/>
        <v>0.18339999999999979</v>
      </c>
      <c r="H29">
        <f t="shared" si="6"/>
        <v>120.38</v>
      </c>
      <c r="I29">
        <f t="shared" si="7"/>
        <v>1.2999999999999901</v>
      </c>
      <c r="K29">
        <f t="shared" si="9"/>
        <v>0.82249999999999268</v>
      </c>
    </row>
    <row r="30" spans="1:18" x14ac:dyDescent="0.25">
      <c r="A30" t="s">
        <v>10</v>
      </c>
      <c r="B30">
        <v>20</v>
      </c>
      <c r="C30">
        <v>2.7326999999999999</v>
      </c>
      <c r="D30">
        <v>2.7711999999999999</v>
      </c>
      <c r="E30">
        <v>2.7629999999999999</v>
      </c>
      <c r="F30">
        <f t="shared" si="3"/>
        <v>3.8499999999999979E-2</v>
      </c>
      <c r="G30">
        <f t="shared" si="4"/>
        <v>8.1999999999999851E-3</v>
      </c>
      <c r="P30">
        <f t="shared" si="5"/>
        <v>5.1216666666667285E-2</v>
      </c>
    </row>
    <row r="31" spans="1:18" x14ac:dyDescent="0.25">
      <c r="B31">
        <v>20</v>
      </c>
      <c r="C31">
        <v>2.7050999999999998</v>
      </c>
      <c r="D31">
        <v>2.758</v>
      </c>
      <c r="E31">
        <v>2.7484999999999999</v>
      </c>
      <c r="F31">
        <f t="shared" si="3"/>
        <v>5.2900000000000169E-2</v>
      </c>
      <c r="G31">
        <f t="shared" si="4"/>
        <v>9.5000000000000639E-3</v>
      </c>
      <c r="H31">
        <f t="shared" si="6"/>
        <v>2.2850000000000037</v>
      </c>
      <c r="I31">
        <f t="shared" si="7"/>
        <v>0.36000000000000476</v>
      </c>
      <c r="J31">
        <f t="shared" si="8"/>
        <v>0.44250000000000123</v>
      </c>
      <c r="K31">
        <f t="shared" si="9"/>
        <v>3.2500000000001972E-2</v>
      </c>
    </row>
    <row r="32" spans="1:18" x14ac:dyDescent="0.25">
      <c r="A32" t="s">
        <v>11</v>
      </c>
      <c r="B32">
        <v>20</v>
      </c>
      <c r="C32">
        <v>2.6360000000000001</v>
      </c>
      <c r="D32">
        <v>2.6591999999999998</v>
      </c>
      <c r="E32">
        <v>2.6478999999999999</v>
      </c>
      <c r="F32">
        <f t="shared" si="3"/>
        <v>2.3199999999999665E-2</v>
      </c>
      <c r="G32">
        <f t="shared" si="4"/>
        <v>1.1299999999999866E-2</v>
      </c>
      <c r="P32">
        <f t="shared" si="5"/>
        <v>7.4133333333332357E-2</v>
      </c>
    </row>
    <row r="33" spans="1:18" x14ac:dyDescent="0.25">
      <c r="B33">
        <v>20</v>
      </c>
      <c r="C33">
        <v>2.6110000000000002</v>
      </c>
      <c r="D33">
        <v>2.6349999999999998</v>
      </c>
      <c r="E33">
        <v>2.6231</v>
      </c>
      <c r="F33">
        <f t="shared" si="3"/>
        <v>2.3999999999999577E-2</v>
      </c>
      <c r="G33">
        <f t="shared" si="4"/>
        <v>1.18999999999998E-2</v>
      </c>
      <c r="H33">
        <f t="shared" si="6"/>
        <v>1.1799999999999811</v>
      </c>
      <c r="I33">
        <f t="shared" si="7"/>
        <v>1.9999999999997797E-2</v>
      </c>
      <c r="J33">
        <f t="shared" si="8"/>
        <v>0.57999999999999163</v>
      </c>
      <c r="K33">
        <f t="shared" si="9"/>
        <v>1.4999999999998348E-2</v>
      </c>
      <c r="L33">
        <f t="shared" si="15"/>
        <v>41.281666666666659</v>
      </c>
      <c r="M33">
        <f t="shared" si="10"/>
        <v>52.732222222222219</v>
      </c>
      <c r="N33">
        <f>AVERAGE(J29:J33)</f>
        <v>0.51124999999999643</v>
      </c>
      <c r="O33">
        <f>AVEDEV(J29:J33)</f>
        <v>6.8749999999995204E-2</v>
      </c>
      <c r="Q33">
        <f>(N33-M$2)/M$2* 100</f>
        <v>172.26331360947052</v>
      </c>
      <c r="R33">
        <f t="shared" si="14"/>
        <v>1.1458333333332526E-2</v>
      </c>
    </row>
    <row r="34" spans="1:18" x14ac:dyDescent="0.25">
      <c r="A34" t="s">
        <v>12</v>
      </c>
      <c r="B34">
        <v>20</v>
      </c>
      <c r="C34">
        <v>2.6181999999999999</v>
      </c>
      <c r="D34">
        <v>2.6267</v>
      </c>
      <c r="E34">
        <v>2.6204000000000001</v>
      </c>
      <c r="F34">
        <f t="shared" si="3"/>
        <v>8.5000000000001741E-3</v>
      </c>
      <c r="G34">
        <f t="shared" si="4"/>
        <v>6.2999999999999723E-3</v>
      </c>
      <c r="P34">
        <f t="shared" si="5"/>
        <v>3.1216666666667638E-2</v>
      </c>
    </row>
    <row r="35" spans="1:18" x14ac:dyDescent="0.25">
      <c r="B35">
        <v>20</v>
      </c>
      <c r="C35">
        <v>2.5548999999999999</v>
      </c>
      <c r="D35">
        <v>2.5651000000000002</v>
      </c>
      <c r="E35">
        <v>2.5585</v>
      </c>
      <c r="F35">
        <f t="shared" si="3"/>
        <v>1.0200000000000209E-2</v>
      </c>
      <c r="G35">
        <f t="shared" si="4"/>
        <v>6.6000000000001613E-3</v>
      </c>
      <c r="H35">
        <f t="shared" si="6"/>
        <v>0.46750000000000957</v>
      </c>
      <c r="I35">
        <f t="shared" si="7"/>
        <v>4.250000000000087E-2</v>
      </c>
      <c r="J35">
        <f t="shared" si="8"/>
        <v>0.32250000000000334</v>
      </c>
      <c r="K35">
        <f t="shared" si="9"/>
        <v>7.5000000000047251E-3</v>
      </c>
    </row>
    <row r="36" spans="1:18" x14ac:dyDescent="0.25">
      <c r="A36" t="s">
        <v>13</v>
      </c>
      <c r="B36">
        <v>20</v>
      </c>
      <c r="C36">
        <v>2.6124999999999998</v>
      </c>
      <c r="D36">
        <v>2.6238999999999999</v>
      </c>
      <c r="E36">
        <v>2.6156000000000001</v>
      </c>
      <c r="F36">
        <f t="shared" si="3"/>
        <v>1.1400000000000077E-2</v>
      </c>
      <c r="G36">
        <f t="shared" si="4"/>
        <v>8.299999999999752E-3</v>
      </c>
      <c r="P36">
        <f t="shared" si="5"/>
        <v>4.663333333333354E-2</v>
      </c>
    </row>
    <row r="37" spans="1:18" x14ac:dyDescent="0.25">
      <c r="B37">
        <v>20</v>
      </c>
      <c r="C37">
        <v>2.7229999999999999</v>
      </c>
      <c r="D37">
        <v>2.7349000000000001</v>
      </c>
      <c r="E37">
        <v>2.7265999999999999</v>
      </c>
      <c r="F37">
        <f t="shared" si="3"/>
        <v>1.1900000000000244E-2</v>
      </c>
      <c r="G37">
        <f t="shared" si="4"/>
        <v>8.3000000000001961E-3</v>
      </c>
      <c r="H37">
        <f t="shared" si="6"/>
        <v>0.58250000000000801</v>
      </c>
      <c r="I37">
        <f t="shared" si="7"/>
        <v>1.2500000000004174E-2</v>
      </c>
      <c r="J37">
        <f t="shared" si="8"/>
        <v>0.4149999999999987</v>
      </c>
      <c r="K37">
        <f t="shared" si="9"/>
        <v>1.1102230246251565E-14</v>
      </c>
    </row>
    <row r="38" spans="1:18" x14ac:dyDescent="0.25">
      <c r="A38" t="s">
        <v>14</v>
      </c>
      <c r="B38">
        <v>20</v>
      </c>
      <c r="C38">
        <v>2.5872000000000002</v>
      </c>
      <c r="D38">
        <v>2.5979999999999999</v>
      </c>
      <c r="E38">
        <v>2.5895999999999999</v>
      </c>
      <c r="F38">
        <f t="shared" si="3"/>
        <v>1.0799999999999699E-2</v>
      </c>
      <c r="G38">
        <f t="shared" si="4"/>
        <v>8.3999999999999631E-3</v>
      </c>
      <c r="P38">
        <f t="shared" si="5"/>
        <v>4.5383333333332748E-2</v>
      </c>
    </row>
    <row r="39" spans="1:18" x14ac:dyDescent="0.25">
      <c r="B39">
        <v>20</v>
      </c>
      <c r="C39">
        <v>2.6648999999999998</v>
      </c>
      <c r="D39">
        <v>2.6753</v>
      </c>
      <c r="E39">
        <v>2.6674000000000002</v>
      </c>
      <c r="F39">
        <f t="shared" si="3"/>
        <v>1.0400000000000187E-2</v>
      </c>
      <c r="G39">
        <f t="shared" si="4"/>
        <v>7.8999999999997961E-3</v>
      </c>
      <c r="H39">
        <f t="shared" si="6"/>
        <v>0.52999999999999714</v>
      </c>
      <c r="I39">
        <f t="shared" si="7"/>
        <v>9.9999999999877964E-3</v>
      </c>
      <c r="J39">
        <f t="shared" si="8"/>
        <v>0.40749999999999398</v>
      </c>
      <c r="K39">
        <f t="shared" si="9"/>
        <v>1.2500000000004174E-2</v>
      </c>
      <c r="L39">
        <f t="shared" si="15"/>
        <v>0.52666666666667161</v>
      </c>
      <c r="M39">
        <f t="shared" si="10"/>
        <v>3.9444444444441319E-2</v>
      </c>
      <c r="N39">
        <f>AVERAGE(J35:J39)</f>
        <v>0.38166666666666532</v>
      </c>
      <c r="O39">
        <f t="shared" si="12"/>
        <v>3.944444444444134E-2</v>
      </c>
      <c r="Q39">
        <f>(N39-M$2)/M$2* 100</f>
        <v>103.25443786982549</v>
      </c>
      <c r="R39">
        <f t="shared" si="14"/>
        <v>6.9915071936957002E-3</v>
      </c>
    </row>
    <row r="41" spans="1:18" x14ac:dyDescent="0.25">
      <c r="B41" t="s">
        <v>99</v>
      </c>
      <c r="C41" t="s">
        <v>100</v>
      </c>
    </row>
    <row r="42" spans="1:18" x14ac:dyDescent="0.25">
      <c r="A42" t="s">
        <v>59</v>
      </c>
      <c r="B42">
        <v>4.138888888889114E-2</v>
      </c>
      <c r="C42">
        <v>8.5616861152297552E-4</v>
      </c>
      <c r="D42">
        <f>-C42</f>
        <v>-8.5616861152297552E-4</v>
      </c>
    </row>
    <row r="43" spans="1:18" x14ac:dyDescent="0.25">
      <c r="A43" t="s">
        <v>60</v>
      </c>
      <c r="B43">
        <v>0.3022222222222235</v>
      </c>
      <c r="C43">
        <v>2.8724827949716227E-2</v>
      </c>
      <c r="D43">
        <f t="shared" ref="D43:D46" si="16">-C43</f>
        <v>-2.8724827949716227E-2</v>
      </c>
    </row>
    <row r="44" spans="1:18" x14ac:dyDescent="0.25">
      <c r="A44" t="s">
        <v>61</v>
      </c>
      <c r="B44">
        <v>0.16055555555556131</v>
      </c>
      <c r="C44">
        <v>1.8591407480306594E-2</v>
      </c>
      <c r="D44">
        <f t="shared" si="16"/>
        <v>-1.8591407480306594E-2</v>
      </c>
    </row>
    <row r="45" spans="1:18" x14ac:dyDescent="0.25">
      <c r="A45" t="s">
        <v>62</v>
      </c>
      <c r="B45">
        <v>0.32347222222222205</v>
      </c>
      <c r="C45">
        <v>1.1458333333332526E-2</v>
      </c>
      <c r="D45">
        <f t="shared" si="16"/>
        <v>-1.1458333333332526E-2</v>
      </c>
    </row>
    <row r="46" spans="1:18" x14ac:dyDescent="0.25">
      <c r="A46" t="s">
        <v>63</v>
      </c>
      <c r="B46">
        <v>0.19388888888889097</v>
      </c>
      <c r="C46">
        <v>6.9915071936957002E-3</v>
      </c>
      <c r="D46">
        <f t="shared" si="16"/>
        <v>-6.9915071936957002E-3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9043-CF57-42C0-9128-8D6962A260A1}">
  <dimension ref="B2:S88"/>
  <sheetViews>
    <sheetView topLeftCell="O27" zoomScale="110" zoomScaleNormal="110" workbookViewId="0">
      <selection activeCell="AE31" sqref="AE31"/>
    </sheetView>
  </sheetViews>
  <sheetFormatPr defaultRowHeight="15" x14ac:dyDescent="0.25"/>
  <cols>
    <col min="3" max="3" width="13.5703125" customWidth="1"/>
    <col min="4" max="4" width="13" customWidth="1"/>
    <col min="5" max="5" width="12.5703125" customWidth="1"/>
    <col min="8" max="9" width="11.7109375" customWidth="1"/>
    <col min="16" max="16" width="15.7109375" customWidth="1"/>
  </cols>
  <sheetData>
    <row r="2" spans="2:16" x14ac:dyDescent="0.25">
      <c r="B2" s="1" t="s">
        <v>29</v>
      </c>
      <c r="C2" s="3">
        <v>44732.541666666664</v>
      </c>
      <c r="D2" s="3">
        <v>44732.691666666666</v>
      </c>
      <c r="E2" s="3">
        <v>44733.425694444442</v>
      </c>
      <c r="F2" s="3">
        <v>44733.677083333336</v>
      </c>
      <c r="G2" s="3">
        <v>44734.454861111109</v>
      </c>
      <c r="H2" s="5" t="s">
        <v>47</v>
      </c>
      <c r="I2" s="3" t="s">
        <v>48</v>
      </c>
      <c r="J2" s="3">
        <v>44734.685416666667</v>
      </c>
      <c r="K2" s="3">
        <v>44735.354166666664</v>
      </c>
      <c r="L2" s="3">
        <v>44735.70208333333</v>
      </c>
      <c r="M2" s="3">
        <v>44736.44027777778</v>
      </c>
      <c r="N2" s="3">
        <v>44736.69027777778</v>
      </c>
      <c r="O2" s="3">
        <v>44739.362500000003</v>
      </c>
      <c r="P2" s="3">
        <v>44740.430555555555</v>
      </c>
    </row>
    <row r="3" spans="2:16" x14ac:dyDescent="0.25">
      <c r="B3" t="s">
        <v>0</v>
      </c>
      <c r="C3">
        <v>1045</v>
      </c>
      <c r="F3">
        <v>1017</v>
      </c>
      <c r="G3">
        <v>1017</v>
      </c>
      <c r="H3">
        <v>824</v>
      </c>
      <c r="I3">
        <f>G3</f>
        <v>1017</v>
      </c>
      <c r="J3">
        <v>1010</v>
      </c>
      <c r="K3">
        <v>987</v>
      </c>
      <c r="L3">
        <v>962</v>
      </c>
      <c r="M3">
        <v>960</v>
      </c>
      <c r="N3">
        <v>967</v>
      </c>
      <c r="O3">
        <v>981</v>
      </c>
      <c r="P3">
        <v>990</v>
      </c>
    </row>
    <row r="4" spans="2:16" x14ac:dyDescent="0.25">
      <c r="B4" t="s">
        <v>1</v>
      </c>
      <c r="C4">
        <v>1000</v>
      </c>
      <c r="F4">
        <v>990</v>
      </c>
      <c r="G4">
        <v>995</v>
      </c>
      <c r="H4">
        <v>810</v>
      </c>
      <c r="I4">
        <f t="shared" ref="I4:I8" si="0">G4</f>
        <v>995</v>
      </c>
      <c r="J4">
        <v>992</v>
      </c>
      <c r="K4">
        <v>993</v>
      </c>
      <c r="L4">
        <v>990</v>
      </c>
      <c r="M4">
        <v>961</v>
      </c>
      <c r="N4">
        <v>963</v>
      </c>
      <c r="O4">
        <v>978</v>
      </c>
      <c r="P4">
        <v>988</v>
      </c>
    </row>
    <row r="5" spans="2:16" x14ac:dyDescent="0.25">
      <c r="B5" t="s">
        <v>2</v>
      </c>
      <c r="C5">
        <v>1065</v>
      </c>
      <c r="D5">
        <v>1048</v>
      </c>
      <c r="E5">
        <v>1042</v>
      </c>
      <c r="F5">
        <v>1038</v>
      </c>
      <c r="G5">
        <v>1038</v>
      </c>
      <c r="H5">
        <v>851</v>
      </c>
      <c r="I5">
        <f t="shared" si="0"/>
        <v>1038</v>
      </c>
      <c r="J5">
        <v>1030</v>
      </c>
      <c r="K5">
        <v>1021</v>
      </c>
      <c r="L5">
        <v>1014</v>
      </c>
      <c r="M5">
        <v>989</v>
      </c>
      <c r="N5">
        <v>987</v>
      </c>
      <c r="O5">
        <v>996</v>
      </c>
      <c r="P5">
        <v>1007</v>
      </c>
    </row>
    <row r="6" spans="2:16" x14ac:dyDescent="0.25">
      <c r="B6" t="s">
        <v>3</v>
      </c>
      <c r="C6">
        <v>1085</v>
      </c>
      <c r="D6">
        <v>1072</v>
      </c>
      <c r="E6">
        <v>1051</v>
      </c>
      <c r="F6">
        <v>1032</v>
      </c>
      <c r="G6">
        <v>974</v>
      </c>
      <c r="H6">
        <v>758</v>
      </c>
      <c r="I6">
        <f t="shared" si="0"/>
        <v>974</v>
      </c>
      <c r="J6">
        <v>983</v>
      </c>
      <c r="K6">
        <v>983</v>
      </c>
      <c r="L6">
        <v>987</v>
      </c>
      <c r="M6">
        <v>1005</v>
      </c>
      <c r="N6">
        <v>1004</v>
      </c>
      <c r="O6">
        <v>1028</v>
      </c>
      <c r="P6">
        <v>1031</v>
      </c>
    </row>
    <row r="7" spans="2:16" x14ac:dyDescent="0.25">
      <c r="B7" t="s">
        <v>4</v>
      </c>
      <c r="C7">
        <v>1033</v>
      </c>
      <c r="F7">
        <v>1023</v>
      </c>
      <c r="G7">
        <v>1022</v>
      </c>
      <c r="H7">
        <v>797</v>
      </c>
      <c r="I7">
        <f t="shared" si="0"/>
        <v>1022</v>
      </c>
      <c r="J7">
        <v>1017</v>
      </c>
      <c r="K7">
        <v>1015</v>
      </c>
      <c r="L7">
        <v>1014</v>
      </c>
      <c r="M7">
        <v>1015</v>
      </c>
      <c r="N7">
        <v>1013</v>
      </c>
      <c r="O7">
        <v>1020</v>
      </c>
      <c r="P7">
        <v>1021</v>
      </c>
    </row>
    <row r="8" spans="2:16" x14ac:dyDescent="0.25">
      <c r="B8" t="s">
        <v>5</v>
      </c>
      <c r="C8">
        <v>1047</v>
      </c>
      <c r="F8">
        <v>1032</v>
      </c>
      <c r="G8">
        <v>1028</v>
      </c>
      <c r="H8">
        <v>810</v>
      </c>
      <c r="I8">
        <f t="shared" si="0"/>
        <v>1028</v>
      </c>
      <c r="J8">
        <v>1017</v>
      </c>
      <c r="K8">
        <v>1010</v>
      </c>
      <c r="L8">
        <v>999</v>
      </c>
      <c r="M8">
        <v>1008</v>
      </c>
      <c r="N8">
        <v>1013</v>
      </c>
      <c r="O8">
        <v>1031</v>
      </c>
      <c r="P8">
        <v>1025</v>
      </c>
    </row>
    <row r="9" spans="2:16" x14ac:dyDescent="0.25">
      <c r="B9" t="s">
        <v>6</v>
      </c>
      <c r="C9">
        <v>1022</v>
      </c>
      <c r="D9">
        <v>652</v>
      </c>
      <c r="E9">
        <v>647</v>
      </c>
      <c r="F9">
        <v>651</v>
      </c>
      <c r="G9">
        <v>670</v>
      </c>
      <c r="H9">
        <v>567</v>
      </c>
      <c r="I9">
        <v>1188</v>
      </c>
      <c r="J9">
        <v>749</v>
      </c>
      <c r="K9">
        <v>709</v>
      </c>
      <c r="L9">
        <v>714</v>
      </c>
      <c r="M9">
        <v>717</v>
      </c>
      <c r="N9">
        <v>730</v>
      </c>
      <c r="O9">
        <v>740</v>
      </c>
      <c r="P9">
        <v>748</v>
      </c>
    </row>
    <row r="10" spans="2:16" x14ac:dyDescent="0.25">
      <c r="B10" t="s">
        <v>7</v>
      </c>
      <c r="C10">
        <v>1050</v>
      </c>
      <c r="F10">
        <v>749</v>
      </c>
      <c r="G10">
        <v>786</v>
      </c>
      <c r="H10">
        <v>603</v>
      </c>
      <c r="I10">
        <v>1081</v>
      </c>
      <c r="J10">
        <v>511</v>
      </c>
      <c r="K10">
        <v>503</v>
      </c>
      <c r="L10">
        <v>519</v>
      </c>
      <c r="M10">
        <v>532</v>
      </c>
      <c r="N10">
        <v>545</v>
      </c>
      <c r="O10">
        <v>554</v>
      </c>
      <c r="P10">
        <v>569</v>
      </c>
    </row>
    <row r="11" spans="2:16" x14ac:dyDescent="0.25">
      <c r="B11" t="s">
        <v>8</v>
      </c>
      <c r="C11">
        <v>1050</v>
      </c>
      <c r="F11">
        <v>660</v>
      </c>
      <c r="G11">
        <v>702</v>
      </c>
      <c r="H11">
        <v>576</v>
      </c>
      <c r="I11">
        <v>1155</v>
      </c>
      <c r="J11">
        <v>658</v>
      </c>
      <c r="K11">
        <v>622</v>
      </c>
      <c r="L11">
        <v>643</v>
      </c>
      <c r="M11">
        <v>664</v>
      </c>
      <c r="N11">
        <v>678</v>
      </c>
      <c r="O11">
        <v>727</v>
      </c>
      <c r="P11">
        <v>748</v>
      </c>
    </row>
    <row r="12" spans="2:16" x14ac:dyDescent="0.25">
      <c r="B12" t="s">
        <v>9</v>
      </c>
      <c r="C12">
        <v>1017</v>
      </c>
      <c r="F12">
        <v>776</v>
      </c>
      <c r="G12">
        <v>769</v>
      </c>
      <c r="H12">
        <v>625</v>
      </c>
      <c r="I12">
        <v>1094</v>
      </c>
      <c r="J12">
        <v>595</v>
      </c>
      <c r="K12">
        <v>566</v>
      </c>
      <c r="L12">
        <v>567</v>
      </c>
      <c r="M12">
        <v>556</v>
      </c>
      <c r="N12">
        <v>568</v>
      </c>
      <c r="O12">
        <v>553</v>
      </c>
    </row>
    <row r="13" spans="2:16" x14ac:dyDescent="0.25">
      <c r="B13" t="s">
        <v>10</v>
      </c>
      <c r="C13">
        <v>1024</v>
      </c>
      <c r="F13">
        <v>967</v>
      </c>
      <c r="G13">
        <v>957</v>
      </c>
      <c r="H13">
        <v>778</v>
      </c>
      <c r="I13">
        <v>1139</v>
      </c>
      <c r="J13">
        <v>696</v>
      </c>
      <c r="K13">
        <v>647</v>
      </c>
      <c r="L13">
        <v>642</v>
      </c>
      <c r="M13">
        <v>635</v>
      </c>
      <c r="N13">
        <v>652</v>
      </c>
      <c r="O13">
        <v>640</v>
      </c>
    </row>
    <row r="14" spans="2:16" x14ac:dyDescent="0.25">
      <c r="B14" t="s">
        <v>11</v>
      </c>
      <c r="C14">
        <v>1058</v>
      </c>
      <c r="D14">
        <v>960</v>
      </c>
      <c r="E14">
        <v>1015</v>
      </c>
      <c r="F14">
        <v>1010</v>
      </c>
      <c r="G14">
        <v>998</v>
      </c>
      <c r="H14">
        <v>810</v>
      </c>
      <c r="I14">
        <v>1102</v>
      </c>
      <c r="J14">
        <v>818</v>
      </c>
      <c r="K14">
        <v>950</v>
      </c>
      <c r="L14">
        <v>945</v>
      </c>
      <c r="M14">
        <v>937</v>
      </c>
      <c r="N14">
        <v>941</v>
      </c>
      <c r="O14">
        <v>920</v>
      </c>
    </row>
    <row r="15" spans="2:16" x14ac:dyDescent="0.25">
      <c r="B15" t="s">
        <v>12</v>
      </c>
      <c r="C15">
        <v>1015</v>
      </c>
      <c r="F15">
        <v>1012</v>
      </c>
      <c r="G15">
        <v>1015</v>
      </c>
      <c r="H15">
        <v>828</v>
      </c>
      <c r="I15">
        <f>G15</f>
        <v>1015</v>
      </c>
      <c r="J15">
        <v>1013</v>
      </c>
      <c r="K15">
        <v>1129</v>
      </c>
      <c r="L15">
        <v>1151</v>
      </c>
      <c r="M15">
        <v>1170</v>
      </c>
      <c r="N15">
        <v>1175</v>
      </c>
      <c r="O15">
        <v>1215</v>
      </c>
    </row>
    <row r="16" spans="2:16" x14ac:dyDescent="0.25">
      <c r="B16" t="s">
        <v>13</v>
      </c>
      <c r="C16">
        <v>926</v>
      </c>
      <c r="F16">
        <v>936</v>
      </c>
      <c r="G16">
        <v>942</v>
      </c>
      <c r="H16">
        <v>770</v>
      </c>
      <c r="I16">
        <f t="shared" ref="I16:I17" si="1">G16</f>
        <v>942</v>
      </c>
      <c r="J16">
        <v>948</v>
      </c>
      <c r="K16">
        <v>1079</v>
      </c>
      <c r="L16">
        <v>1120</v>
      </c>
      <c r="M16">
        <v>1136</v>
      </c>
      <c r="N16">
        <v>1133</v>
      </c>
      <c r="O16">
        <v>1168</v>
      </c>
    </row>
    <row r="17" spans="2:19" x14ac:dyDescent="0.25">
      <c r="B17" t="s">
        <v>14</v>
      </c>
      <c r="C17">
        <v>1048</v>
      </c>
      <c r="D17">
        <v>1032</v>
      </c>
      <c r="E17">
        <v>1029</v>
      </c>
      <c r="F17">
        <v>1027</v>
      </c>
      <c r="G17">
        <v>1034</v>
      </c>
      <c r="H17">
        <v>838</v>
      </c>
      <c r="I17">
        <f t="shared" si="1"/>
        <v>1034</v>
      </c>
      <c r="J17">
        <v>1022</v>
      </c>
      <c r="K17">
        <v>1024</v>
      </c>
      <c r="L17">
        <v>1024</v>
      </c>
      <c r="M17">
        <v>1035</v>
      </c>
      <c r="N17">
        <v>1036</v>
      </c>
      <c r="O17">
        <v>1095</v>
      </c>
    </row>
    <row r="18" spans="2:19" x14ac:dyDescent="0.25">
      <c r="B18" t="s">
        <v>30</v>
      </c>
      <c r="C18">
        <v>1017</v>
      </c>
      <c r="D18">
        <v>1017</v>
      </c>
      <c r="E18">
        <v>1015</v>
      </c>
      <c r="F18">
        <v>1013</v>
      </c>
      <c r="G18">
        <v>1013</v>
      </c>
      <c r="H18">
        <v>1013</v>
      </c>
      <c r="I18">
        <v>1013</v>
      </c>
      <c r="J18">
        <v>1012</v>
      </c>
      <c r="K18">
        <v>1010</v>
      </c>
      <c r="L18">
        <v>1008</v>
      </c>
      <c r="M18">
        <v>1005</v>
      </c>
      <c r="N18">
        <v>1005</v>
      </c>
      <c r="O18">
        <v>1015</v>
      </c>
      <c r="P18">
        <v>1020</v>
      </c>
    </row>
    <row r="19" spans="2:19" x14ac:dyDescent="0.25">
      <c r="B19" t="s">
        <v>31</v>
      </c>
      <c r="C19">
        <v>21.2</v>
      </c>
      <c r="D19">
        <v>21</v>
      </c>
      <c r="E19">
        <v>21.2</v>
      </c>
      <c r="F19">
        <v>21.2</v>
      </c>
      <c r="G19">
        <v>21.3</v>
      </c>
      <c r="H19">
        <v>21.3</v>
      </c>
      <c r="I19">
        <v>21.3</v>
      </c>
      <c r="J19">
        <v>21.2</v>
      </c>
      <c r="K19">
        <v>20.8</v>
      </c>
      <c r="L19">
        <v>20.8</v>
      </c>
      <c r="M19">
        <v>20.7</v>
      </c>
      <c r="N19">
        <v>21</v>
      </c>
      <c r="O19">
        <v>20.9</v>
      </c>
      <c r="P19">
        <v>21.2</v>
      </c>
    </row>
    <row r="21" spans="2:19" x14ac:dyDescent="0.25">
      <c r="C21">
        <v>44732.541666666664</v>
      </c>
      <c r="D21">
        <v>44732.691666666666</v>
      </c>
      <c r="E21">
        <v>44733.425694444442</v>
      </c>
      <c r="F21">
        <v>44733.677083333336</v>
      </c>
      <c r="G21">
        <v>44734.454861111109</v>
      </c>
      <c r="H21">
        <v>44734.685416666667</v>
      </c>
      <c r="I21">
        <v>44735.354166666664</v>
      </c>
      <c r="J21">
        <v>44735.70208333333</v>
      </c>
      <c r="K21">
        <v>44736.44027777778</v>
      </c>
      <c r="L21">
        <v>44736.69027777778</v>
      </c>
      <c r="M21">
        <v>44739.362500000003</v>
      </c>
      <c r="N21">
        <v>44740.430555555555</v>
      </c>
    </row>
    <row r="22" spans="2:19" x14ac:dyDescent="0.25"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</row>
    <row r="23" spans="2:19" x14ac:dyDescent="0.25">
      <c r="B23" s="1" t="s">
        <v>29</v>
      </c>
      <c r="C23" s="8">
        <v>0</v>
      </c>
      <c r="D23" s="8">
        <f>D21-$C21</f>
        <v>0.15000000000145519</v>
      </c>
      <c r="E23" s="8">
        <f t="shared" ref="E23:N23" si="2">E21-$C21</f>
        <v>0.88402777777810115</v>
      </c>
      <c r="F23" s="8">
        <f t="shared" si="2"/>
        <v>1.1354166666715173</v>
      </c>
      <c r="G23" s="8">
        <f t="shared" si="2"/>
        <v>1.9131944444452529</v>
      </c>
      <c r="H23" s="8">
        <f t="shared" si="2"/>
        <v>2.1437500000029104</v>
      </c>
      <c r="I23" s="8">
        <f t="shared" si="2"/>
        <v>2.8125</v>
      </c>
      <c r="J23" s="8">
        <f t="shared" si="2"/>
        <v>3.1604166666656965</v>
      </c>
      <c r="K23" s="8">
        <f t="shared" si="2"/>
        <v>3.898611111115315</v>
      </c>
      <c r="L23" s="8">
        <f t="shared" si="2"/>
        <v>4.148611111115315</v>
      </c>
      <c r="M23" s="8">
        <f t="shared" si="2"/>
        <v>6.820833333338669</v>
      </c>
      <c r="N23" s="8">
        <f t="shared" si="2"/>
        <v>7.8888888888905058</v>
      </c>
      <c r="P23" s="1" t="s">
        <v>97</v>
      </c>
      <c r="R23" t="s">
        <v>100</v>
      </c>
    </row>
    <row r="24" spans="2:19" x14ac:dyDescent="0.25">
      <c r="B24" t="s">
        <v>87</v>
      </c>
      <c r="C24">
        <f>AVERAGE(C3:C5) + IF(AVERAGE(C3:C5) &gt; C$18, $C$30*C$22, -$C$30*C$22)</f>
        <v>1042.6666666666667</v>
      </c>
      <c r="D24">
        <f>AVERAGE(D3:D5) + IF(AVERAGE(D3:D5) &gt; D$18, $C$30*D$22, -$C$30*D$22)</f>
        <v>1060</v>
      </c>
      <c r="E24">
        <f t="shared" ref="E24:G24" si="3">AVERAGE(E3:E5) + IF(AVERAGE(E3:E5) &gt; E$18, $C$30*E$22, -$C$30*E$22)</f>
        <v>1060</v>
      </c>
      <c r="F24">
        <f t="shared" si="3"/>
        <v>1039</v>
      </c>
      <c r="G24">
        <f t="shared" si="3"/>
        <v>1046.6666666666665</v>
      </c>
      <c r="H24">
        <f>AVERAGE(J3:J5) + IF(AVERAGE(J3:J5) &gt; J$18, $C$30*H$22, -$C$30*H$22)</f>
        <v>974.66666666666663</v>
      </c>
      <c r="I24">
        <f t="shared" ref="I24:N24" si="4">AVERAGE(K3:K5) + IF(AVERAGE(K3:K5) &gt; I$18, $C$30*I$22, -$C$30*I$22)</f>
        <v>958.33333333333337</v>
      </c>
      <c r="J24">
        <f t="shared" si="4"/>
        <v>940.66666666666663</v>
      </c>
      <c r="K24">
        <f t="shared" si="4"/>
        <v>916</v>
      </c>
      <c r="L24">
        <f t="shared" si="4"/>
        <v>912.33333333333337</v>
      </c>
      <c r="M24">
        <f t="shared" si="4"/>
        <v>919</v>
      </c>
      <c r="N24">
        <f t="shared" si="4"/>
        <v>923</v>
      </c>
      <c r="P24">
        <f>($N24-$H24)/($N$23-$H$23)/24</f>
        <v>-0.37471292155212083</v>
      </c>
      <c r="Q24">
        <f>($N24-$H24)</f>
        <v>-51.666666666666629</v>
      </c>
      <c r="R24">
        <f>Q33</f>
        <v>17.707499980391233</v>
      </c>
      <c r="S24">
        <f>-R24</f>
        <v>-17.707499980391233</v>
      </c>
    </row>
    <row r="25" spans="2:19" x14ac:dyDescent="0.25">
      <c r="B25" t="s">
        <v>88</v>
      </c>
      <c r="C25">
        <f>AVERAGE(C6:C8) + IF(AVERAGE(C6:C8) &gt; C$18, $C$30*C$22, -$C$30*C$22)</f>
        <v>1061</v>
      </c>
      <c r="D25">
        <f t="shared" ref="D25:G25" si="5">AVERAGE(D6:D8) + IF(AVERAGE(D6:D8) &gt; D$18, $C$30*D$22, -$C$30*D$22)</f>
        <v>1084</v>
      </c>
      <c r="E25">
        <f t="shared" si="5"/>
        <v>1069</v>
      </c>
      <c r="F25">
        <f t="shared" si="5"/>
        <v>1053</v>
      </c>
      <c r="G25">
        <f t="shared" si="5"/>
        <v>978</v>
      </c>
      <c r="H25">
        <f>AVERAGE(J6:J8) + IF(AVERAGE(J6:J8) &gt; J$18, $C$30*H$22, -$C$30*H$22)</f>
        <v>969.66666666666663</v>
      </c>
      <c r="I25">
        <f t="shared" ref="I25:N25" si="6">AVERAGE(K6:K8) + IF(AVERAGE(K6:K8) &gt; I$18, $C$30*I$22, -$C$30*I$22)</f>
        <v>960.66666666666663</v>
      </c>
      <c r="J25">
        <f t="shared" si="6"/>
        <v>952</v>
      </c>
      <c r="K25">
        <f t="shared" si="6"/>
        <v>955.33333333333337</v>
      </c>
      <c r="L25">
        <f t="shared" si="6"/>
        <v>1070</v>
      </c>
      <c r="M25">
        <f t="shared" si="6"/>
        <v>1092.3333333333333</v>
      </c>
      <c r="N25">
        <f t="shared" si="6"/>
        <v>1097.6666666666667</v>
      </c>
      <c r="P25">
        <f t="shared" ref="P25:P26" si="7">(N25-H25)/(N$23-H$23)/24</f>
        <v>0.92832104436138474</v>
      </c>
      <c r="Q25">
        <f t="shared" ref="Q25:Q26" si="8">($N25-$H25)</f>
        <v>128.00000000000011</v>
      </c>
      <c r="R25">
        <f t="shared" ref="R25:R28" si="9">Q34</f>
        <v>16.546231527987807</v>
      </c>
      <c r="S25">
        <f t="shared" ref="S25:S28" si="10">-R25</f>
        <v>-16.546231527987807</v>
      </c>
    </row>
    <row r="26" spans="2:19" x14ac:dyDescent="0.25">
      <c r="B26" t="s">
        <v>89</v>
      </c>
      <c r="C26">
        <f>AVERAGE(C9:C11) + IF(AVERAGE(C9:C11) &gt; C$18, $C$30*C$22, -$C$30*C$22)</f>
        <v>1046.6666666666667</v>
      </c>
      <c r="D26">
        <f t="shared" ref="D26:G26" si="11">AVERAGE(D9:D11) + IF(AVERAGE(D9:D11) &gt; D$18, $C$30*D$22, -$C$30*D$22)</f>
        <v>640</v>
      </c>
      <c r="E26">
        <f t="shared" si="11"/>
        <v>629</v>
      </c>
      <c r="F26">
        <f t="shared" si="11"/>
        <v>662.66666666666663</v>
      </c>
      <c r="G26">
        <f t="shared" si="11"/>
        <v>689.33333333333337</v>
      </c>
      <c r="H26">
        <f>AVERAGE(J9:J11) + IF(AVERAGE(J9:J11) &gt; J$18, $C$30*H$22, -$C$30*H$22)</f>
        <v>603.33333333333337</v>
      </c>
      <c r="I26">
        <f t="shared" ref="I26:N26" si="12">AVERAGE(K9:K11) + IF(AVERAGE(K9:K11) &gt; I$18, $C$30*I$22, -$C$30*I$22)</f>
        <v>569.33333333333337</v>
      </c>
      <c r="J26">
        <f t="shared" si="12"/>
        <v>577.33333333333337</v>
      </c>
      <c r="K26">
        <f t="shared" si="12"/>
        <v>583.66666666666663</v>
      </c>
      <c r="L26">
        <f t="shared" si="12"/>
        <v>591</v>
      </c>
      <c r="M26">
        <f t="shared" si="12"/>
        <v>607.66666666666663</v>
      </c>
      <c r="N26">
        <f t="shared" si="12"/>
        <v>616.33333333333337</v>
      </c>
      <c r="P26">
        <f t="shared" si="7"/>
        <v>9.4282606067953065E-2</v>
      </c>
      <c r="Q26">
        <f t="shared" si="8"/>
        <v>13</v>
      </c>
      <c r="R26">
        <f t="shared" si="9"/>
        <v>129.36425747133987</v>
      </c>
      <c r="S26">
        <f t="shared" si="10"/>
        <v>-129.36425747133987</v>
      </c>
    </row>
    <row r="27" spans="2:19" x14ac:dyDescent="0.25">
      <c r="B27" t="s">
        <v>90</v>
      </c>
      <c r="C27">
        <f>AVERAGE(C12:C14) + IF(AVERAGE(C12:C14) &gt; C$18, $C$30*C$22, -$C$30*C$22)</f>
        <v>1039</v>
      </c>
      <c r="D27">
        <f t="shared" ref="D27:G27" si="13">AVERAGE(D12:D14) + IF(AVERAGE(D12:D14) &gt; D$18, $C$30*D$22, -$C$30*D$22)</f>
        <v>948</v>
      </c>
      <c r="E27">
        <f t="shared" si="13"/>
        <v>997</v>
      </c>
      <c r="F27">
        <f t="shared" si="13"/>
        <v>893.66666666666663</v>
      </c>
      <c r="G27">
        <f t="shared" si="13"/>
        <v>878</v>
      </c>
      <c r="H27">
        <f>AVERAGE(J12:J14) + IF(AVERAGE(J12:J14) &gt; J$18, $C$30*H$22, -$C$30*H$22)</f>
        <v>667</v>
      </c>
      <c r="I27">
        <f t="shared" ref="I27:M27" si="14">AVERAGE(K12:K14) + IF(AVERAGE(K12:K14) &gt; K$18, $C$30*I$22, -$C$30*I$22)</f>
        <v>679</v>
      </c>
      <c r="J27">
        <f t="shared" si="14"/>
        <v>670</v>
      </c>
      <c r="K27">
        <f t="shared" si="14"/>
        <v>655.33333333333337</v>
      </c>
      <c r="L27">
        <f t="shared" si="14"/>
        <v>660.33333333333337</v>
      </c>
      <c r="M27">
        <f t="shared" si="14"/>
        <v>638.33333333333337</v>
      </c>
      <c r="P27">
        <f>(M27-H27)/(M$23-H$23)/24</f>
        <v>-0.25538233110602909</v>
      </c>
      <c r="Q27">
        <f>($M27-$H27)</f>
        <v>-28.666666666666629</v>
      </c>
      <c r="R27">
        <f t="shared" si="9"/>
        <v>181.19112070469188</v>
      </c>
      <c r="S27">
        <f t="shared" si="10"/>
        <v>-181.19112070469188</v>
      </c>
    </row>
    <row r="28" spans="2:19" x14ac:dyDescent="0.25">
      <c r="B28" t="s">
        <v>91</v>
      </c>
      <c r="C28">
        <f>AVERAGE(C15:C17) + IF(AVERAGE(C15:C17) &gt; C$18, $C$30*C$22, -$C$30*C$22)</f>
        <v>990.33333333333337</v>
      </c>
      <c r="D28">
        <f t="shared" ref="D28:G28" si="15">AVERAGE(D15:D17) + IF(AVERAGE(D15:D17) &gt; D$18, $C$30*D$22, -$C$30*D$22)</f>
        <v>1044</v>
      </c>
      <c r="E28">
        <f t="shared" si="15"/>
        <v>1047</v>
      </c>
      <c r="F28">
        <f t="shared" si="15"/>
        <v>967.66666666666663</v>
      </c>
      <c r="G28">
        <f t="shared" si="15"/>
        <v>967</v>
      </c>
      <c r="H28">
        <f>AVERAGE(J15:J17) + IF(AVERAGE(J15:J17) &gt; J$18, $C$30*H$22, -$C$30*H$22)</f>
        <v>958.33333333333337</v>
      </c>
      <c r="I28">
        <f t="shared" ref="I28:M28" si="16">AVERAGE(K15:K17) + IF(AVERAGE(K15:K17) &gt; K$18, $C$30*I$22, -$C$30*I$22)</f>
        <v>1119.3333333333333</v>
      </c>
      <c r="J28">
        <f t="shared" si="16"/>
        <v>1146.3333333333333</v>
      </c>
      <c r="K28">
        <f t="shared" si="16"/>
        <v>1167.6666666666667</v>
      </c>
      <c r="L28">
        <f t="shared" si="16"/>
        <v>1174.6666666666667</v>
      </c>
      <c r="M28">
        <f t="shared" si="16"/>
        <v>1225.3333333333333</v>
      </c>
      <c r="P28">
        <f>(M28-H28)/(M$23-H$23)/24</f>
        <v>2.3786191536735983</v>
      </c>
      <c r="Q28">
        <f>($M28-$H28)</f>
        <v>266.99999999999989</v>
      </c>
      <c r="R28">
        <f t="shared" si="9"/>
        <v>59.367031629048498</v>
      </c>
      <c r="S28">
        <f t="shared" si="10"/>
        <v>-59.367031629048498</v>
      </c>
    </row>
    <row r="29" spans="2:19" x14ac:dyDescent="0.25">
      <c r="B29" t="s">
        <v>30</v>
      </c>
      <c r="C29">
        <f>C18</f>
        <v>1017</v>
      </c>
      <c r="D29">
        <f t="shared" ref="D29:G29" si="17">D18</f>
        <v>1017</v>
      </c>
      <c r="E29">
        <f t="shared" si="17"/>
        <v>1015</v>
      </c>
      <c r="F29">
        <f t="shared" si="17"/>
        <v>1013</v>
      </c>
      <c r="G29">
        <f t="shared" si="17"/>
        <v>1013</v>
      </c>
      <c r="H29">
        <f>J18</f>
        <v>1012</v>
      </c>
      <c r="I29">
        <f t="shared" ref="I29:N29" si="18">K18</f>
        <v>1010</v>
      </c>
      <c r="J29">
        <f t="shared" si="18"/>
        <v>1008</v>
      </c>
      <c r="K29">
        <f t="shared" si="18"/>
        <v>1005</v>
      </c>
      <c r="L29">
        <f t="shared" si="18"/>
        <v>1005</v>
      </c>
      <c r="M29">
        <f t="shared" si="18"/>
        <v>1015</v>
      </c>
      <c r="N29">
        <f t="shared" si="18"/>
        <v>1020</v>
      </c>
    </row>
    <row r="30" spans="2:19" x14ac:dyDescent="0.25">
      <c r="B30" t="s">
        <v>77</v>
      </c>
      <c r="C30">
        <v>6</v>
      </c>
      <c r="P30" t="s">
        <v>98</v>
      </c>
    </row>
    <row r="32" spans="2:19" x14ac:dyDescent="0.25">
      <c r="B32" s="1" t="s">
        <v>102</v>
      </c>
      <c r="C32" s="8">
        <v>0</v>
      </c>
      <c r="D32" s="8">
        <f>D30-$C30</f>
        <v>-6</v>
      </c>
      <c r="E32" s="8">
        <f t="shared" ref="E32:N32" si="19">E30-$C30</f>
        <v>-6</v>
      </c>
      <c r="F32" s="8">
        <f t="shared" si="19"/>
        <v>-6</v>
      </c>
      <c r="G32" s="8">
        <f t="shared" si="19"/>
        <v>-6</v>
      </c>
      <c r="H32" s="8">
        <f t="shared" si="19"/>
        <v>-6</v>
      </c>
      <c r="I32" s="8">
        <f t="shared" si="19"/>
        <v>-6</v>
      </c>
      <c r="J32" s="8">
        <f t="shared" si="19"/>
        <v>-6</v>
      </c>
      <c r="K32" s="8">
        <f t="shared" si="19"/>
        <v>-6</v>
      </c>
      <c r="L32" s="8">
        <f t="shared" si="19"/>
        <v>-6</v>
      </c>
      <c r="M32" s="8">
        <f t="shared" si="19"/>
        <v>-6</v>
      </c>
      <c r="N32" s="8">
        <f t="shared" si="19"/>
        <v>-6</v>
      </c>
    </row>
    <row r="33" spans="2:17" x14ac:dyDescent="0.25">
      <c r="B33" t="s">
        <v>87</v>
      </c>
      <c r="C33">
        <f>_xlfn.STDEV.P(C3:C5)</f>
        <v>27.182510717166821</v>
      </c>
      <c r="D33">
        <f t="shared" ref="D33:G33" si="20">_xlfn.STDEV.P(D3:D5)</f>
        <v>0</v>
      </c>
      <c r="E33">
        <f t="shared" si="20"/>
        <v>0</v>
      </c>
      <c r="F33">
        <f t="shared" si="20"/>
        <v>19.646882704388499</v>
      </c>
      <c r="G33">
        <f t="shared" si="20"/>
        <v>17.556258776351591</v>
      </c>
      <c r="H33">
        <f>_xlfn.STDEV.P(J3:J5)</f>
        <v>15.520595635763755</v>
      </c>
      <c r="I33">
        <f t="shared" ref="I33:N33" si="21">_xlfn.STDEV.P(K3:K5)</f>
        <v>14.817407180595247</v>
      </c>
      <c r="J33">
        <f t="shared" si="21"/>
        <v>21.249836600678968</v>
      </c>
      <c r="K33">
        <f t="shared" si="21"/>
        <v>13.4412301024373</v>
      </c>
      <c r="L33">
        <f t="shared" si="21"/>
        <v>10.498677165349081</v>
      </c>
      <c r="M33">
        <f t="shared" si="21"/>
        <v>7.8740078740118111</v>
      </c>
      <c r="N33">
        <f t="shared" si="21"/>
        <v>8.5244745683629475</v>
      </c>
      <c r="P33">
        <f>($N33-$H33)/($N$23-$H$23)/24</f>
        <v>-5.073942512318904E-2</v>
      </c>
      <c r="Q33">
        <f>SQRT($N33^2 + $H33^2)</f>
        <v>17.707499980391233</v>
      </c>
    </row>
    <row r="34" spans="2:17" x14ac:dyDescent="0.25">
      <c r="B34" t="s">
        <v>88</v>
      </c>
      <c r="C34">
        <f>_xlfn.STDEV.P(C6:C8)</f>
        <v>21.969676071045441</v>
      </c>
      <c r="D34">
        <f t="shared" ref="D34:G34" si="22">_xlfn.STDEV.P(D6:D8)</f>
        <v>0</v>
      </c>
      <c r="E34">
        <f t="shared" si="22"/>
        <v>0</v>
      </c>
      <c r="F34">
        <f t="shared" si="22"/>
        <v>4.2426406871192848</v>
      </c>
      <c r="G34">
        <f t="shared" si="22"/>
        <v>24.166091947189145</v>
      </c>
      <c r="H34">
        <f>_xlfn.STDEV.P(J6:J8)</f>
        <v>16.027753706895076</v>
      </c>
      <c r="I34">
        <f t="shared" ref="I34:N34" si="23">_xlfn.STDEV.P(K6:K8)</f>
        <v>14.055445761538676</v>
      </c>
      <c r="J34">
        <f t="shared" si="23"/>
        <v>11.045361017187261</v>
      </c>
      <c r="K34">
        <f t="shared" si="23"/>
        <v>4.1899350299921778</v>
      </c>
      <c r="L34">
        <f t="shared" si="23"/>
        <v>4.2426406871192848</v>
      </c>
      <c r="M34">
        <f t="shared" si="23"/>
        <v>4.6427960923947058</v>
      </c>
      <c r="N34">
        <f t="shared" si="23"/>
        <v>4.1096093353126513</v>
      </c>
      <c r="P34">
        <f t="shared" ref="P34:P35" si="24">(N34-H34)/(N$23-H$23)/24</f>
        <v>-8.6436439295915213E-2</v>
      </c>
      <c r="Q34">
        <f t="shared" ref="Q34" si="25">SQRT($N34^2 + $H34^2)</f>
        <v>16.546231527987807</v>
      </c>
    </row>
    <row r="35" spans="2:17" x14ac:dyDescent="0.25">
      <c r="B35" t="s">
        <v>89</v>
      </c>
      <c r="C35">
        <f>_xlfn.STDEV.P(C9:C11)</f>
        <v>13.199326582148888</v>
      </c>
      <c r="D35">
        <f t="shared" ref="D35:G35" si="26">_xlfn.STDEV.P(D9:D11)</f>
        <v>0</v>
      </c>
      <c r="E35">
        <f t="shared" si="26"/>
        <v>0</v>
      </c>
      <c r="F35">
        <f t="shared" si="26"/>
        <v>44.229201012704515</v>
      </c>
      <c r="G35">
        <f t="shared" si="26"/>
        <v>48.917163540917713</v>
      </c>
      <c r="H35">
        <f>_xlfn.STDEV.P(J9:J11)</f>
        <v>98.055539817436568</v>
      </c>
      <c r="I35">
        <f t="shared" ref="I35:N35" si="27">_xlfn.STDEV.P(K9:K11)</f>
        <v>84.436695550901064</v>
      </c>
      <c r="J35">
        <f t="shared" si="27"/>
        <v>80.582600823971646</v>
      </c>
      <c r="K35">
        <f t="shared" si="27"/>
        <v>77.787459714846634</v>
      </c>
      <c r="L35">
        <f t="shared" si="27"/>
        <v>77.901647393791791</v>
      </c>
      <c r="M35">
        <f t="shared" si="27"/>
        <v>84.783384116359869</v>
      </c>
      <c r="N35">
        <f t="shared" si="27"/>
        <v>84.38140922159468</v>
      </c>
      <c r="P35">
        <f t="shared" si="24"/>
        <v>-9.9171743714577307E-2</v>
      </c>
      <c r="Q35">
        <f>SQRT($N35^2 + $H35^2)</f>
        <v>129.36425747133987</v>
      </c>
    </row>
    <row r="36" spans="2:17" x14ac:dyDescent="0.25">
      <c r="B36" t="s">
        <v>90</v>
      </c>
      <c r="C36">
        <f>_xlfn.STDEV.P(C12:C14)</f>
        <v>17.907168024751059</v>
      </c>
      <c r="D36">
        <f t="shared" ref="D36:G36" si="28">_xlfn.STDEV.P(D12:D14)</f>
        <v>0</v>
      </c>
      <c r="E36">
        <f t="shared" si="28"/>
        <v>0</v>
      </c>
      <c r="F36">
        <f t="shared" si="28"/>
        <v>101.69999453731002</v>
      </c>
      <c r="G36">
        <f t="shared" si="28"/>
        <v>99.702891967418211</v>
      </c>
      <c r="H36">
        <f>_xlfn.STDEV.P(J12:J14)</f>
        <v>91.173826653632702</v>
      </c>
      <c r="I36">
        <f t="shared" ref="I36:M36" si="29">_xlfn.STDEV.P(K12:K14)</f>
        <v>165.26947691573298</v>
      </c>
      <c r="J36">
        <f t="shared" si="29"/>
        <v>163.40746616969494</v>
      </c>
      <c r="K36">
        <f t="shared" si="29"/>
        <v>164.18350167487057</v>
      </c>
      <c r="L36">
        <f t="shared" si="29"/>
        <v>159.75884604268049</v>
      </c>
      <c r="M36">
        <f t="shared" si="29"/>
        <v>156.58082754780534</v>
      </c>
      <c r="P36">
        <f>(M36-H36)/(M$23-H$23)/24</f>
        <v>0.58269043112818464</v>
      </c>
      <c r="Q36">
        <f>SQRT($M36^2 + $H36^2)</f>
        <v>181.19112070469188</v>
      </c>
    </row>
    <row r="37" spans="2:17" x14ac:dyDescent="0.25">
      <c r="B37" t="s">
        <v>91</v>
      </c>
      <c r="C37">
        <f>_xlfn.STDEV.P(C15:C17)</f>
        <v>51.525613910839425</v>
      </c>
      <c r="D37">
        <f t="shared" ref="D37:G37" si="30">_xlfn.STDEV.P(D15:D17)</f>
        <v>0</v>
      </c>
      <c r="E37">
        <f t="shared" si="30"/>
        <v>0</v>
      </c>
      <c r="F37">
        <f t="shared" si="30"/>
        <v>39.835773983806178</v>
      </c>
      <c r="G37">
        <f t="shared" si="30"/>
        <v>39.656861533241212</v>
      </c>
      <c r="H37">
        <f>_xlfn.STDEV.P(J15:J17)</f>
        <v>32.96799795087486</v>
      </c>
      <c r="I37">
        <f t="shared" ref="I37:M37" si="31">_xlfn.STDEV.P(K15:K17)</f>
        <v>42.88226776756202</v>
      </c>
      <c r="J37">
        <f t="shared" si="31"/>
        <v>54.063748379934673</v>
      </c>
      <c r="K37">
        <f t="shared" si="31"/>
        <v>57.331395316082173</v>
      </c>
      <c r="L37">
        <f t="shared" si="31"/>
        <v>58.208437723600021</v>
      </c>
      <c r="M37">
        <f t="shared" si="31"/>
        <v>49.37160677510461</v>
      </c>
      <c r="P37">
        <f>(M37-H37)/(M$23-H$23)/24</f>
        <v>0.14613459977034515</v>
      </c>
      <c r="Q37">
        <f>SQRT($M37^2 + $H37^2)</f>
        <v>59.367031629048498</v>
      </c>
    </row>
    <row r="38" spans="2:17" x14ac:dyDescent="0.25">
      <c r="B38" t="s">
        <v>30</v>
      </c>
      <c r="C38">
        <f>C27</f>
        <v>1039</v>
      </c>
      <c r="D38">
        <f t="shared" ref="D38:G38" si="32">D27</f>
        <v>948</v>
      </c>
      <c r="E38">
        <f t="shared" si="32"/>
        <v>997</v>
      </c>
      <c r="F38">
        <f t="shared" si="32"/>
        <v>893.66666666666663</v>
      </c>
      <c r="G38">
        <f t="shared" si="32"/>
        <v>878</v>
      </c>
      <c r="H38">
        <f>J27</f>
        <v>670</v>
      </c>
      <c r="I38">
        <f t="shared" ref="I38" si="33">K27</f>
        <v>655.33333333333337</v>
      </c>
      <c r="J38">
        <f t="shared" ref="J38" si="34">L27</f>
        <v>660.33333333333337</v>
      </c>
      <c r="K38">
        <f t="shared" ref="K38" si="35">M27</f>
        <v>638.33333333333337</v>
      </c>
      <c r="L38">
        <f t="shared" ref="L38" si="36">N27</f>
        <v>0</v>
      </c>
      <c r="M38">
        <f t="shared" ref="M38" si="37">O27</f>
        <v>0</v>
      </c>
      <c r="N38">
        <f t="shared" ref="N38" si="38">P27</f>
        <v>-0.25538233110602909</v>
      </c>
    </row>
    <row r="40" spans="2:17" x14ac:dyDescent="0.25">
      <c r="B40" s="1" t="s">
        <v>29</v>
      </c>
      <c r="C40" s="1">
        <v>0</v>
      </c>
      <c r="D40" s="8">
        <f t="shared" ref="D40:N40" si="39">D23-C23</f>
        <v>0.15000000000145519</v>
      </c>
      <c r="E40" s="8">
        <f t="shared" si="39"/>
        <v>0.73402777777664596</v>
      </c>
      <c r="F40" s="8">
        <f t="shared" si="39"/>
        <v>0.25138888889341615</v>
      </c>
      <c r="G40" s="8">
        <f t="shared" si="39"/>
        <v>0.77777777777373558</v>
      </c>
      <c r="H40" s="8">
        <f t="shared" si="39"/>
        <v>0.2305555555576575</v>
      </c>
      <c r="I40" s="8">
        <f t="shared" si="39"/>
        <v>0.66874999999708962</v>
      </c>
      <c r="J40" s="8">
        <f t="shared" si="39"/>
        <v>0.34791666666569654</v>
      </c>
      <c r="K40" s="8">
        <f t="shared" si="39"/>
        <v>0.73819444444961846</v>
      </c>
      <c r="L40" s="8">
        <f t="shared" si="39"/>
        <v>0.25</v>
      </c>
      <c r="M40" s="8">
        <f t="shared" si="39"/>
        <v>2.672222222223354</v>
      </c>
      <c r="N40" s="8">
        <f t="shared" si="39"/>
        <v>1.0680555555518367</v>
      </c>
    </row>
    <row r="41" spans="2:17" x14ac:dyDescent="0.25">
      <c r="C41" t="s">
        <v>59</v>
      </c>
      <c r="D41">
        <f>AVERAGE((D5-C5  +  IF(D5 &gt; D$18, $C$30, -$C$30)))</f>
        <v>-11</v>
      </c>
      <c r="E41">
        <f>AVERAGE((E5-D5  +  IF(E5 &gt; E$18, $C$30, -$C$30)))</f>
        <v>0</v>
      </c>
      <c r="F41">
        <f>AVERAGE((F5-E5  +  IF(F5 &gt; F$18, $C$30, -$C$30)))</f>
        <v>2</v>
      </c>
      <c r="G41">
        <f>AVERAGE((G3-F3  +  IF(G3 &gt; G$18, $C$30, -$C$30)), (G4-F4  +  IF(G4 &gt; G$18, $C$30, -$C$30)),(G5-F5  +  IF(G5 &gt; G$18, $C$30, -$C$30)))</f>
        <v>3.6666666666666665</v>
      </c>
      <c r="H41">
        <f t="shared" ref="H41:N41" si="40">AVERAGE((J3-I3  +  IF(J3 &gt; J$18, $C$30, -$C$30)), (J4-I4  +  IF(J4 &gt; J$18, $C$30, -$C$30)),(J5-I5  +  IF(J5 &gt; J$18, $C$30, -$C$30)))</f>
        <v>-8</v>
      </c>
      <c r="I41">
        <f t="shared" si="40"/>
        <v>-12.333333333333334</v>
      </c>
      <c r="J41">
        <f t="shared" si="40"/>
        <v>-13.666666666666666</v>
      </c>
      <c r="K41">
        <f t="shared" si="40"/>
        <v>-24.666666666666668</v>
      </c>
      <c r="L41">
        <f t="shared" si="40"/>
        <v>-3.6666666666666665</v>
      </c>
      <c r="M41">
        <f t="shared" si="40"/>
        <v>6.666666666666667</v>
      </c>
      <c r="N41">
        <f t="shared" si="40"/>
        <v>4</v>
      </c>
    </row>
    <row r="42" spans="2:17" x14ac:dyDescent="0.25">
      <c r="C42" t="s">
        <v>60</v>
      </c>
      <c r="D42">
        <f>AVERAGE((D6-C6+IF(D6&gt;D$18,$C$30,-$C$30)))</f>
        <v>-7</v>
      </c>
      <c r="E42">
        <f>AVERAGE((E6-D6+IF(E6&gt;E$18,$C$30,-$C$30)))</f>
        <v>-15</v>
      </c>
      <c r="F42">
        <f>AVERAGE((F6-E6+IF(F6&gt;F$18,$C$30,-$C$30)))</f>
        <v>-13</v>
      </c>
      <c r="G42">
        <f>AVERAGE((G6-F6  +  IF(G6 &gt; G$18, $C$30, -$C$30)), (G7-F7  +  IF(G7 &gt; G$18, $C$30, -$C$30)),(G8-F8  +  IF(G8 &gt; G$18, $C$30, -$C$30)))</f>
        <v>-19</v>
      </c>
      <c r="H42">
        <f t="shared" ref="H42:N42" si="41">AVERAGE((J6-I6  +  IF(J6 &gt; J$18, $C$30, -$C$30)), (J7-I7  +  IF(J7 &gt; J$18, $C$30, -$C$30)),(J8-I8  +  IF(J8 &gt; J$18, $C$30, -$C$30)))</f>
        <v>-0.33333333333333331</v>
      </c>
      <c r="I42">
        <f t="shared" si="41"/>
        <v>-5</v>
      </c>
      <c r="J42">
        <f t="shared" si="41"/>
        <v>-4.666666666666667</v>
      </c>
      <c r="K42">
        <f t="shared" si="41"/>
        <v>11.333333333333334</v>
      </c>
      <c r="L42">
        <f t="shared" si="41"/>
        <v>2.6666666666666665</v>
      </c>
      <c r="M42">
        <f t="shared" si="41"/>
        <v>22.333333333333332</v>
      </c>
      <c r="N42">
        <f t="shared" si="41"/>
        <v>5.333333333333333</v>
      </c>
    </row>
    <row r="43" spans="2:17" x14ac:dyDescent="0.25">
      <c r="C43" t="s">
        <v>61</v>
      </c>
      <c r="E43">
        <f>AVERAGE((E9-D9  +  IF(E9 &gt; E$18, $C$30, -$C$30)))</f>
        <v>-11</v>
      </c>
      <c r="F43">
        <f>AVERAGE((F9-E9  +  IF(F9 &gt; F$18, $C$30, -$C$30)))</f>
        <v>-2</v>
      </c>
      <c r="G43">
        <f>AVERAGE((G11-F11 +  IF(G11 &gt; G$18, $C$30, -$C$30)), (G10-F10  +  IF(G10 &gt; G$18, $C$30, -$C$30)),(G9-F9  +  IF(G9 &gt; G$18, $C$30, -$C$30)))</f>
        <v>26.666666666666668</v>
      </c>
      <c r="I43">
        <f t="shared" ref="I43:N43" si="42">AVERAGE((K11-J11 +  IF(K11 &gt; K$18, $C$30, -$C$30)), (K10-J10  +  IF(K10 &gt; K$18, $C$30, -$C$30)),(K9-J9  +  IF(K9 &gt; K$18, $C$30, -$C$30)))</f>
        <v>-34</v>
      </c>
      <c r="J43">
        <f t="shared" si="42"/>
        <v>8</v>
      </c>
      <c r="K43">
        <f t="shared" si="42"/>
        <v>6.333333333333333</v>
      </c>
      <c r="L43">
        <f t="shared" si="42"/>
        <v>7.333333333333333</v>
      </c>
      <c r="M43">
        <f t="shared" si="42"/>
        <v>16.666666666666668</v>
      </c>
      <c r="N43">
        <f t="shared" si="42"/>
        <v>8.6666666666666661</v>
      </c>
    </row>
    <row r="44" spans="2:17" x14ac:dyDescent="0.25">
      <c r="C44" t="s">
        <v>62</v>
      </c>
      <c r="F44">
        <f>AVERAGE((F14-E14  +  IF(F14 &gt; F$18, $C$30, -$C$30)))</f>
        <v>-11</v>
      </c>
      <c r="G44">
        <f>AVERAGE((G12-F12  +  IF(G12 &gt; G$18, $C$30, -$C$30)), (G13-F13  +  IF(G13 &gt; G$18, $C$30, -$C$30)),(G14-F14  +  IF(G14 &gt; G$18, $C$30, -$C$30)))</f>
        <v>-15.666666666666666</v>
      </c>
      <c r="I44">
        <f>AVERAGE((K12-J12  +  IF(K12 &gt; HK$18, $C$30, -$C$30)), (K13-J13  +  IF(K13 &gt; K$18, $C$30, -$C$30)),(K14-J14  +  IF(K14 &gt; K$18, $C$30, -$C$30)))</f>
        <v>16</v>
      </c>
      <c r="J44">
        <f>AVERAGE((L12-K12  +  IF(L12 &gt; HL$18, $C$30, -$C$30)), (L13-K13  +  IF(L13 &gt; L$18, $C$30, -$C$30)),(L14-K14  +  IF(L14 &gt; L$18, $C$30, -$C$30)))</f>
        <v>-5</v>
      </c>
      <c r="K44">
        <f>AVERAGE((M12-L12  +  IF(M12 &gt; HM$18, $C$30, -$C$30)), (M13-L13  +  IF(M13 &gt; M$18, $C$30, -$C$30)),(M14-L14  +  IF(M14 &gt; M$18, $C$30, -$C$30)))</f>
        <v>-10.666666666666666</v>
      </c>
      <c r="L44">
        <f>AVERAGE((N12-M12  +  IF(N12 &gt; HN$18, $C$30, -$C$30)), (N13-M13  +  IF(N13 &gt; N$18, $C$30, -$C$30)),(N14-M14  +  IF(N14 &gt; N$18, $C$30, -$C$30)))</f>
        <v>9</v>
      </c>
      <c r="M44">
        <f>AVERAGE((O12-N12  +  IF(O12 &gt; HO$18, $C$30, -$C$30)), (O13-N13  +  IF(O13 &gt; O$18, $C$30, -$C$30)),(O14-N14  +  IF(O14 &gt; O$18, $C$30, -$C$30)))</f>
        <v>-18</v>
      </c>
      <c r="N44">
        <v>0</v>
      </c>
    </row>
    <row r="45" spans="2:17" x14ac:dyDescent="0.25">
      <c r="C45" t="s">
        <v>63</v>
      </c>
      <c r="D45">
        <f>AVERAGE((D17-C17  +  IF(D17 &gt; D$18, $C$30, -$C$30)))</f>
        <v>-10</v>
      </c>
      <c r="E45">
        <f>AVERAGE((E17-D17  +  IF(E17 &gt; E$18, $C$30, -$C$30)))</f>
        <v>3</v>
      </c>
      <c r="F45">
        <f>AVERAGE((F17-E17  +  IF(F17 &gt; F$18, $C$30, -$C$30)))</f>
        <v>4</v>
      </c>
      <c r="G45">
        <f>AVERAGE((G15-F15 +  IF(G15 &gt; G$18, $C$30, -$C$30)), (G16-F16  +  IF(G16 &gt; G$18, $C$30, -$C$30)),(G17-F17  +  IF(G17 &gt; G$18, $C$30, -$C$30)))</f>
        <v>7.333333333333333</v>
      </c>
      <c r="H45">
        <f t="shared" ref="H45:M45" si="43">AVERAGE((J15-I15 +  IF(J15 &gt; J$18, $C$30, -$C$30)), (J16-I16  +  IF(J16 &gt; J$18, $C$30, -$C$30)),(J17-I17  +  IF(J17 &gt; J$18, $C$30, -$C$30)))</f>
        <v>-0.66666666666666663</v>
      </c>
      <c r="I45">
        <f t="shared" si="43"/>
        <v>89</v>
      </c>
      <c r="J45">
        <f t="shared" si="43"/>
        <v>27</v>
      </c>
      <c r="K45">
        <f t="shared" si="43"/>
        <v>21.333333333333332</v>
      </c>
      <c r="L45">
        <f t="shared" si="43"/>
        <v>7</v>
      </c>
      <c r="M45">
        <f t="shared" si="43"/>
        <v>50.666666666666664</v>
      </c>
      <c r="N45">
        <v>0</v>
      </c>
    </row>
    <row r="46" spans="2:17" x14ac:dyDescent="0.25">
      <c r="C46" t="s">
        <v>78</v>
      </c>
      <c r="D46">
        <f>D18-C18</f>
        <v>0</v>
      </c>
      <c r="E46">
        <f>E18-D18</f>
        <v>-2</v>
      </c>
      <c r="F46">
        <f>F18-E18</f>
        <v>-2</v>
      </c>
      <c r="G46">
        <f>G18-F18</f>
        <v>0</v>
      </c>
      <c r="H46">
        <f t="shared" ref="H46:N46" si="44">J18-I18</f>
        <v>-1</v>
      </c>
      <c r="I46">
        <f t="shared" si="44"/>
        <v>-2</v>
      </c>
      <c r="J46">
        <f t="shared" si="44"/>
        <v>-2</v>
      </c>
      <c r="K46">
        <f t="shared" si="44"/>
        <v>-3</v>
      </c>
      <c r="L46">
        <f t="shared" si="44"/>
        <v>0</v>
      </c>
      <c r="M46">
        <f t="shared" si="44"/>
        <v>10</v>
      </c>
      <c r="N46">
        <f t="shared" si="44"/>
        <v>5</v>
      </c>
    </row>
    <row r="48" spans="2:17" x14ac:dyDescent="0.25">
      <c r="C48" s="1" t="s">
        <v>29</v>
      </c>
      <c r="D48" s="8">
        <f>0</f>
        <v>0</v>
      </c>
      <c r="E48" s="8">
        <f t="shared" ref="E48:N48" si="45">E23-$D23</f>
        <v>0.73402777777664596</v>
      </c>
      <c r="F48" s="8">
        <f t="shared" si="45"/>
        <v>0.98541666667006211</v>
      </c>
      <c r="G48" s="8">
        <f t="shared" si="45"/>
        <v>1.7631944444437977</v>
      </c>
      <c r="H48" s="8">
        <f t="shared" si="45"/>
        <v>1.9937500000014552</v>
      </c>
      <c r="I48" s="8">
        <f t="shared" si="45"/>
        <v>2.6624999999985448</v>
      </c>
      <c r="J48" s="8">
        <f t="shared" si="45"/>
        <v>3.0104166666642413</v>
      </c>
      <c r="K48" s="8">
        <f t="shared" si="45"/>
        <v>3.7486111111138598</v>
      </c>
      <c r="L48" s="8">
        <f t="shared" si="45"/>
        <v>3.9986111111138598</v>
      </c>
      <c r="M48" s="8">
        <f t="shared" si="45"/>
        <v>6.6708333333372138</v>
      </c>
      <c r="N48" s="8">
        <f t="shared" si="45"/>
        <v>7.7388888888890506</v>
      </c>
    </row>
    <row r="49" spans="3:15" x14ac:dyDescent="0.25">
      <c r="C49" t="s">
        <v>59</v>
      </c>
      <c r="D49">
        <f t="shared" ref="D49:N49" si="46">D41/D$40 *0.12</f>
        <v>-8.799999999914629</v>
      </c>
      <c r="E49">
        <f t="shared" si="46"/>
        <v>0</v>
      </c>
      <c r="F49">
        <f t="shared" si="46"/>
        <v>0.95469613257949193</v>
      </c>
      <c r="G49">
        <f t="shared" si="46"/>
        <v>0.56571428571722571</v>
      </c>
      <c r="H49">
        <f t="shared" si="46"/>
        <v>-4.163855421648786</v>
      </c>
      <c r="I49">
        <f t="shared" si="46"/>
        <v>-2.213084112159164</v>
      </c>
      <c r="J49">
        <f t="shared" si="46"/>
        <v>-4.7137724551029638</v>
      </c>
      <c r="K49">
        <f t="shared" si="46"/>
        <v>-4.0097836312042565</v>
      </c>
      <c r="L49">
        <f t="shared" si="46"/>
        <v>-1.7599999999999998</v>
      </c>
      <c r="M49">
        <f t="shared" si="46"/>
        <v>0.29937629937617261</v>
      </c>
      <c r="N49">
        <f t="shared" si="46"/>
        <v>0.44941482444889902</v>
      </c>
    </row>
    <row r="50" spans="3:15" x14ac:dyDescent="0.25">
      <c r="C50" t="s">
        <v>60</v>
      </c>
      <c r="D50">
        <f t="shared" ref="D50:N50" si="47">D42/D$40 *0.12</f>
        <v>-5.5999999999456724</v>
      </c>
      <c r="E50">
        <f t="shared" si="47"/>
        <v>-2.4522232734191074</v>
      </c>
      <c r="F50">
        <f t="shared" si="47"/>
        <v>-6.2055248617666976</v>
      </c>
      <c r="G50">
        <f t="shared" si="47"/>
        <v>-2.9314285714438064</v>
      </c>
      <c r="H50">
        <f t="shared" si="47"/>
        <v>-0.17349397590203272</v>
      </c>
      <c r="I50">
        <f t="shared" si="47"/>
        <v>-0.89719626168614752</v>
      </c>
      <c r="J50">
        <f t="shared" si="47"/>
        <v>-1.6095808383278414</v>
      </c>
      <c r="K50">
        <f t="shared" si="47"/>
        <v>1.8423330197424963</v>
      </c>
      <c r="L50">
        <f t="shared" si="47"/>
        <v>1.2799999999999998</v>
      </c>
      <c r="M50">
        <f t="shared" si="47"/>
        <v>1.002910602910178</v>
      </c>
      <c r="N50">
        <f t="shared" si="47"/>
        <v>0.59921976593186532</v>
      </c>
    </row>
    <row r="51" spans="3:15" x14ac:dyDescent="0.25">
      <c r="C51" t="s">
        <v>61</v>
      </c>
      <c r="D51">
        <f t="shared" ref="D51:N51" si="48">D43/D$40 *0.12</f>
        <v>0</v>
      </c>
      <c r="E51">
        <f t="shared" si="48"/>
        <v>-1.7982970671740122</v>
      </c>
      <c r="F51">
        <f t="shared" si="48"/>
        <v>-0.95469613257949193</v>
      </c>
      <c r="G51">
        <f t="shared" si="48"/>
        <v>4.1142857143070968</v>
      </c>
      <c r="H51">
        <f t="shared" si="48"/>
        <v>0</v>
      </c>
      <c r="I51">
        <f t="shared" si="48"/>
        <v>-6.1009345794658039</v>
      </c>
      <c r="J51">
        <f t="shared" si="48"/>
        <v>2.7592814371334424</v>
      </c>
      <c r="K51">
        <f t="shared" si="48"/>
        <v>1.0295390404443361</v>
      </c>
      <c r="L51">
        <f t="shared" si="48"/>
        <v>3.5199999999999996</v>
      </c>
      <c r="M51">
        <f t="shared" si="48"/>
        <v>0.7484407484404314</v>
      </c>
      <c r="N51">
        <f t="shared" si="48"/>
        <v>0.97373211963928119</v>
      </c>
    </row>
    <row r="52" spans="3:15" x14ac:dyDescent="0.25">
      <c r="C52" t="s">
        <v>62</v>
      </c>
      <c r="D52">
        <f t="shared" ref="D52:N52" si="49">D44/D$40 *0.12</f>
        <v>0</v>
      </c>
      <c r="E52">
        <f t="shared" si="49"/>
        <v>0</v>
      </c>
      <c r="F52">
        <f t="shared" si="49"/>
        <v>-5.250828729187206</v>
      </c>
      <c r="G52">
        <f t="shared" si="49"/>
        <v>-2.4171428571554192</v>
      </c>
      <c r="H52">
        <f t="shared" si="49"/>
        <v>0</v>
      </c>
      <c r="I52">
        <f t="shared" si="49"/>
        <v>2.8710280373956722</v>
      </c>
      <c r="J52">
        <f t="shared" si="49"/>
        <v>-1.7245508982084015</v>
      </c>
      <c r="K52">
        <f t="shared" si="49"/>
        <v>-1.733960489169408</v>
      </c>
      <c r="L52">
        <f t="shared" si="49"/>
        <v>4.32</v>
      </c>
      <c r="M52">
        <f t="shared" si="49"/>
        <v>-0.80831600831566597</v>
      </c>
      <c r="N52">
        <f t="shared" si="49"/>
        <v>0</v>
      </c>
    </row>
    <row r="53" spans="3:15" x14ac:dyDescent="0.25">
      <c r="C53" t="s">
        <v>63</v>
      </c>
      <c r="D53">
        <f t="shared" ref="D53:N53" si="50">D45/D$40 *0.12</f>
        <v>-7.9999999999223901</v>
      </c>
      <c r="E53">
        <f t="shared" si="50"/>
        <v>0.49044465468382148</v>
      </c>
      <c r="F53">
        <f t="shared" si="50"/>
        <v>1.9093922651589839</v>
      </c>
      <c r="G53">
        <f t="shared" si="50"/>
        <v>1.1314285714344514</v>
      </c>
      <c r="H53">
        <f t="shared" si="50"/>
        <v>-0.34698795180406544</v>
      </c>
      <c r="I53">
        <f t="shared" si="50"/>
        <v>15.970093458013425</v>
      </c>
      <c r="J53">
        <f t="shared" si="50"/>
        <v>9.3125748503253671</v>
      </c>
      <c r="K53">
        <f t="shared" si="50"/>
        <v>3.4679209783388161</v>
      </c>
      <c r="L53">
        <f t="shared" si="50"/>
        <v>3.36</v>
      </c>
      <c r="M53">
        <f t="shared" si="50"/>
        <v>2.2752598752589117</v>
      </c>
      <c r="N53">
        <f t="shared" si="50"/>
        <v>0</v>
      </c>
    </row>
    <row r="54" spans="3:15" x14ac:dyDescent="0.25">
      <c r="C54" t="s">
        <v>78</v>
      </c>
      <c r="D54">
        <f t="shared" ref="D54:N54" si="51">D46/D$40 *0.12</f>
        <v>0</v>
      </c>
      <c r="E54">
        <f t="shared" si="51"/>
        <v>-0.32696310312254767</v>
      </c>
      <c r="F54">
        <f t="shared" si="51"/>
        <v>-0.95469613257949193</v>
      </c>
      <c r="G54">
        <f t="shared" si="51"/>
        <v>0</v>
      </c>
      <c r="H54">
        <f t="shared" si="51"/>
        <v>-0.52048192770609825</v>
      </c>
      <c r="I54">
        <f t="shared" si="51"/>
        <v>-0.35887850467445903</v>
      </c>
      <c r="J54">
        <f t="shared" si="51"/>
        <v>-0.68982035928336061</v>
      </c>
      <c r="K54">
        <f t="shared" si="51"/>
        <v>-0.48767638757889609</v>
      </c>
      <c r="L54">
        <f t="shared" si="51"/>
        <v>0</v>
      </c>
      <c r="M54">
        <f t="shared" si="51"/>
        <v>0.44906444906425885</v>
      </c>
      <c r="N54">
        <f t="shared" si="51"/>
        <v>0.56176853056112375</v>
      </c>
    </row>
    <row r="56" spans="3:15" x14ac:dyDescent="0.25">
      <c r="C56" s="1" t="s">
        <v>29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t="s">
        <v>86</v>
      </c>
    </row>
    <row r="57" spans="3:15" x14ac:dyDescent="0.25">
      <c r="C57" t="s">
        <v>59</v>
      </c>
      <c r="E57" s="9" t="e">
        <f t="shared" ref="E57:N57" si="52">(LN(E49)-LN(D49))/(E$48-D$48)</f>
        <v>#NUM!</v>
      </c>
      <c r="F57" s="9" t="e">
        <f t="shared" si="52"/>
        <v>#NUM!</v>
      </c>
      <c r="G57" s="9">
        <f t="shared" si="52"/>
        <v>-0.67281936283615795</v>
      </c>
      <c r="H57" s="9" t="e">
        <f t="shared" si="52"/>
        <v>#NUM!</v>
      </c>
      <c r="I57" s="9" t="e">
        <f t="shared" si="52"/>
        <v>#NUM!</v>
      </c>
      <c r="J57" s="9" t="e">
        <f t="shared" si="52"/>
        <v>#NUM!</v>
      </c>
      <c r="K57" s="9" t="e">
        <f t="shared" si="52"/>
        <v>#NUM!</v>
      </c>
      <c r="L57" s="9" t="e">
        <f t="shared" si="52"/>
        <v>#NUM!</v>
      </c>
      <c r="M57" s="9" t="e">
        <f t="shared" si="52"/>
        <v>#NUM!</v>
      </c>
      <c r="N57" s="9">
        <f t="shared" si="52"/>
        <v>0.38035946336895016</v>
      </c>
      <c r="O57" s="9">
        <v>0.38</v>
      </c>
    </row>
    <row r="58" spans="3:15" x14ac:dyDescent="0.25">
      <c r="C58" t="s">
        <v>60</v>
      </c>
      <c r="E58" s="9" t="e">
        <f t="shared" ref="E58:N58" si="53">(LN(E50)-LN(D50))/(E$48-D$48)</f>
        <v>#NUM!</v>
      </c>
      <c r="F58" s="9" t="e">
        <f t="shared" si="53"/>
        <v>#NUM!</v>
      </c>
      <c r="G58" s="9" t="e">
        <f t="shared" si="53"/>
        <v>#NUM!</v>
      </c>
      <c r="H58" s="9" t="e">
        <f t="shared" si="53"/>
        <v>#NUM!</v>
      </c>
      <c r="I58" s="9" t="e">
        <f t="shared" si="53"/>
        <v>#NUM!</v>
      </c>
      <c r="J58" s="9" t="e">
        <f t="shared" si="53"/>
        <v>#NUM!</v>
      </c>
      <c r="K58" s="9" t="e">
        <f t="shared" si="53"/>
        <v>#NUM!</v>
      </c>
      <c r="L58" s="9">
        <f t="shared" si="53"/>
        <v>-1.4566905441500975</v>
      </c>
      <c r="M58" s="9">
        <f t="shared" si="53"/>
        <v>-9.1292445888635498E-2</v>
      </c>
      <c r="N58" s="9">
        <f t="shared" si="53"/>
        <v>-0.4822157730935327</v>
      </c>
      <c r="O58" s="9">
        <v>-0.09</v>
      </c>
    </row>
    <row r="59" spans="3:15" x14ac:dyDescent="0.25">
      <c r="C59" t="s">
        <v>61</v>
      </c>
      <c r="E59" s="9" t="e">
        <f t="shared" ref="E59:N59" si="54">(LN(E51)-LN(D51))/(E$48-D$48)</f>
        <v>#NUM!</v>
      </c>
      <c r="F59" s="9" t="e">
        <f t="shared" si="54"/>
        <v>#NUM!</v>
      </c>
      <c r="G59" s="9" t="e">
        <f t="shared" si="54"/>
        <v>#NUM!</v>
      </c>
      <c r="H59" s="9" t="e">
        <f t="shared" si="54"/>
        <v>#NUM!</v>
      </c>
      <c r="I59" s="9" t="e">
        <f t="shared" si="54"/>
        <v>#NUM!</v>
      </c>
      <c r="J59" s="9" t="e">
        <f t="shared" si="54"/>
        <v>#NUM!</v>
      </c>
      <c r="K59" s="9">
        <f t="shared" si="54"/>
        <v>-1.3355006067316324</v>
      </c>
      <c r="L59" s="9">
        <f t="shared" si="54"/>
        <v>4.9173992843627063</v>
      </c>
      <c r="M59" s="9">
        <f t="shared" si="54"/>
        <v>-0.57937705007852025</v>
      </c>
      <c r="N59" s="9">
        <f t="shared" si="54"/>
        <v>0.24637687894548657</v>
      </c>
      <c r="O59" s="9">
        <v>4.92</v>
      </c>
    </row>
    <row r="60" spans="3:15" x14ac:dyDescent="0.25">
      <c r="C60" t="s">
        <v>62</v>
      </c>
      <c r="E60" s="9" t="e">
        <f t="shared" ref="E60:N60" si="55">(LN(E52)-LN(D52))/(E$48-D$48)</f>
        <v>#NUM!</v>
      </c>
      <c r="F60" s="9" t="e">
        <f t="shared" si="55"/>
        <v>#NUM!</v>
      </c>
      <c r="G60" s="9" t="e">
        <f t="shared" si="55"/>
        <v>#NUM!</v>
      </c>
      <c r="H60" s="9" t="e">
        <f t="shared" si="55"/>
        <v>#NUM!</v>
      </c>
      <c r="I60" s="9" t="e">
        <f t="shared" si="55"/>
        <v>#NUM!</v>
      </c>
      <c r="J60" s="9" t="e">
        <f t="shared" si="55"/>
        <v>#NUM!</v>
      </c>
      <c r="K60" s="9" t="e">
        <f t="shared" si="55"/>
        <v>#NUM!</v>
      </c>
      <c r="L60" s="9" t="e">
        <f t="shared" si="55"/>
        <v>#NUM!</v>
      </c>
      <c r="M60" s="9" t="e">
        <f t="shared" si="55"/>
        <v>#NUM!</v>
      </c>
      <c r="N60" s="9" t="e">
        <f t="shared" si="55"/>
        <v>#NUM!</v>
      </c>
      <c r="O60" s="9" t="s">
        <v>22</v>
      </c>
    </row>
    <row r="61" spans="3:15" x14ac:dyDescent="0.25">
      <c r="C61" t="s">
        <v>63</v>
      </c>
      <c r="E61" s="9" t="e">
        <f>(LN(E53)-LN(D53))/(E$48-D$48)</f>
        <v>#NUM!</v>
      </c>
      <c r="F61" s="9">
        <f>(LN(E53*0.12)-LN(F53*0.12))/(F$48-E$48)</f>
        <v>-5.4068732013568903</v>
      </c>
      <c r="G61" s="9">
        <f t="shared" ref="G61:N61" si="56">(LN(F53)-LN(G53))/(G$48-F$48)</f>
        <v>0.67281936283615795</v>
      </c>
      <c r="H61" s="9" t="e">
        <f t="shared" si="56"/>
        <v>#NUM!</v>
      </c>
      <c r="I61" s="9" t="e">
        <f t="shared" si="56"/>
        <v>#NUM!</v>
      </c>
      <c r="J61" s="9">
        <f t="shared" si="56"/>
        <v>1.5502338481943503</v>
      </c>
      <c r="K61" s="9">
        <f t="shared" si="56"/>
        <v>1.3381438400232573</v>
      </c>
      <c r="L61" s="9">
        <f t="shared" si="56"/>
        <v>0.12645719494978991</v>
      </c>
      <c r="M61" s="9">
        <f t="shared" si="56"/>
        <v>0.14588857691956827</v>
      </c>
      <c r="N61" s="9" t="e">
        <f t="shared" si="56"/>
        <v>#NUM!</v>
      </c>
      <c r="O61" s="9">
        <v>5.41</v>
      </c>
    </row>
    <row r="62" spans="3:15" x14ac:dyDescent="0.25">
      <c r="C62" t="s">
        <v>78</v>
      </c>
      <c r="E62" s="9" t="e">
        <f>(LN(E54)-LN(D54))/(E$48-D$48)</f>
        <v>#NUM!</v>
      </c>
      <c r="F62" s="9" t="e">
        <f t="shared" ref="F62:N62" si="57">(LN(F54)-LN(E54))/(F$48-E$48)</f>
        <v>#NUM!</v>
      </c>
      <c r="G62" s="9" t="e">
        <f t="shared" si="57"/>
        <v>#NUM!</v>
      </c>
      <c r="H62" s="9" t="e">
        <f t="shared" si="57"/>
        <v>#NUM!</v>
      </c>
      <c r="I62" s="9" t="e">
        <f t="shared" si="57"/>
        <v>#NUM!</v>
      </c>
      <c r="J62" s="9" t="e">
        <f t="shared" si="57"/>
        <v>#NUM!</v>
      </c>
      <c r="K62" s="9" t="e">
        <f t="shared" si="57"/>
        <v>#NUM!</v>
      </c>
      <c r="L62" s="9" t="e">
        <f t="shared" si="57"/>
        <v>#NUM!</v>
      </c>
      <c r="M62" s="9" t="e">
        <f t="shared" si="57"/>
        <v>#NUM!</v>
      </c>
      <c r="N62" s="9">
        <f t="shared" si="57"/>
        <v>0.20965527495268962</v>
      </c>
      <c r="O62" s="9"/>
    </row>
    <row r="73" spans="2:5" x14ac:dyDescent="0.25">
      <c r="B73" s="1" t="s">
        <v>53</v>
      </c>
      <c r="C73" s="1" t="s">
        <v>50</v>
      </c>
      <c r="D73" s="1" t="s">
        <v>51</v>
      </c>
      <c r="E73" s="1" t="s">
        <v>49</v>
      </c>
    </row>
    <row r="74" spans="2:5" x14ac:dyDescent="0.25">
      <c r="B74" t="s">
        <v>0</v>
      </c>
      <c r="C74">
        <f t="shared" ref="C74:C88" si="58">G3-H3</f>
        <v>193</v>
      </c>
      <c r="D74">
        <v>10</v>
      </c>
      <c r="E74">
        <f t="shared" ref="E74:E88" si="59">(-G3/C74 - 1) *D74</f>
        <v>-62.694300518134717</v>
      </c>
    </row>
    <row r="75" spans="2:5" x14ac:dyDescent="0.25">
      <c r="B75" t="s">
        <v>1</v>
      </c>
      <c r="C75">
        <f t="shared" si="58"/>
        <v>185</v>
      </c>
      <c r="D75">
        <v>10</v>
      </c>
      <c r="E75">
        <f t="shared" si="59"/>
        <v>-63.783783783783782</v>
      </c>
    </row>
    <row r="76" spans="2:5" x14ac:dyDescent="0.25">
      <c r="B76" t="s">
        <v>2</v>
      </c>
      <c r="C76">
        <f t="shared" si="58"/>
        <v>187</v>
      </c>
      <c r="D76">
        <v>10</v>
      </c>
      <c r="E76">
        <f t="shared" si="59"/>
        <v>-65.508021390374324</v>
      </c>
    </row>
    <row r="77" spans="2:5" x14ac:dyDescent="0.25">
      <c r="B77" t="s">
        <v>3</v>
      </c>
      <c r="C77">
        <f t="shared" si="58"/>
        <v>216</v>
      </c>
      <c r="D77">
        <v>10</v>
      </c>
      <c r="E77">
        <f t="shared" si="59"/>
        <v>-55.092592592592595</v>
      </c>
    </row>
    <row r="78" spans="2:5" x14ac:dyDescent="0.25">
      <c r="B78" t="s">
        <v>4</v>
      </c>
      <c r="C78">
        <f t="shared" si="58"/>
        <v>225</v>
      </c>
      <c r="D78">
        <v>10</v>
      </c>
      <c r="E78">
        <f t="shared" si="59"/>
        <v>-55.422222222222224</v>
      </c>
    </row>
    <row r="79" spans="2:5" x14ac:dyDescent="0.25">
      <c r="B79" t="s">
        <v>5</v>
      </c>
      <c r="C79">
        <f t="shared" si="58"/>
        <v>218</v>
      </c>
      <c r="D79">
        <v>10</v>
      </c>
      <c r="E79">
        <f t="shared" si="59"/>
        <v>-57.155963302752291</v>
      </c>
    </row>
    <row r="80" spans="2:5" x14ac:dyDescent="0.25">
      <c r="B80" t="s">
        <v>6</v>
      </c>
      <c r="C80">
        <f t="shared" si="58"/>
        <v>103</v>
      </c>
      <c r="D80">
        <v>10</v>
      </c>
      <c r="E80">
        <f t="shared" si="59"/>
        <v>-75.048543689320383</v>
      </c>
    </row>
    <row r="81" spans="2:5" x14ac:dyDescent="0.25">
      <c r="B81" t="s">
        <v>7</v>
      </c>
      <c r="C81">
        <f t="shared" si="58"/>
        <v>183</v>
      </c>
      <c r="D81">
        <v>10</v>
      </c>
      <c r="E81">
        <f t="shared" si="59"/>
        <v>-52.950819672131146</v>
      </c>
    </row>
    <row r="82" spans="2:5" x14ac:dyDescent="0.25">
      <c r="B82" t="s">
        <v>8</v>
      </c>
      <c r="C82">
        <f t="shared" si="58"/>
        <v>126</v>
      </c>
      <c r="D82">
        <v>10</v>
      </c>
      <c r="E82">
        <f t="shared" si="59"/>
        <v>-65.714285714285708</v>
      </c>
    </row>
    <row r="83" spans="2:5" x14ac:dyDescent="0.25">
      <c r="B83" t="s">
        <v>9</v>
      </c>
      <c r="C83">
        <f t="shared" si="58"/>
        <v>144</v>
      </c>
      <c r="D83">
        <v>10</v>
      </c>
      <c r="E83">
        <f t="shared" si="59"/>
        <v>-63.402777777777779</v>
      </c>
    </row>
    <row r="84" spans="2:5" x14ac:dyDescent="0.25">
      <c r="B84" t="s">
        <v>10</v>
      </c>
      <c r="C84">
        <f t="shared" si="58"/>
        <v>179</v>
      </c>
      <c r="D84">
        <v>10</v>
      </c>
      <c r="E84">
        <f t="shared" si="59"/>
        <v>-63.463687150837991</v>
      </c>
    </row>
    <row r="85" spans="2:5" x14ac:dyDescent="0.25">
      <c r="B85" t="s">
        <v>11</v>
      </c>
      <c r="C85">
        <f t="shared" si="58"/>
        <v>188</v>
      </c>
      <c r="D85">
        <v>10</v>
      </c>
      <c r="E85">
        <f t="shared" si="59"/>
        <v>-63.085106382978722</v>
      </c>
    </row>
    <row r="86" spans="2:5" x14ac:dyDescent="0.25">
      <c r="B86" t="s">
        <v>12</v>
      </c>
      <c r="C86">
        <f t="shared" si="58"/>
        <v>187</v>
      </c>
      <c r="D86">
        <v>10</v>
      </c>
      <c r="E86">
        <f t="shared" si="59"/>
        <v>-64.278074866310163</v>
      </c>
    </row>
    <row r="87" spans="2:5" x14ac:dyDescent="0.25">
      <c r="B87" t="s">
        <v>13</v>
      </c>
      <c r="C87">
        <f t="shared" si="58"/>
        <v>172</v>
      </c>
      <c r="D87">
        <v>10</v>
      </c>
      <c r="E87">
        <f t="shared" si="59"/>
        <v>-64.767441860465112</v>
      </c>
    </row>
    <row r="88" spans="2:5" x14ac:dyDescent="0.25">
      <c r="B88" t="s">
        <v>14</v>
      </c>
      <c r="C88">
        <f t="shared" si="58"/>
        <v>196</v>
      </c>
      <c r="D88">
        <v>10</v>
      </c>
      <c r="E88">
        <f t="shared" si="59"/>
        <v>-62.755102040816332</v>
      </c>
    </row>
  </sheetData>
  <conditionalFormatting sqref="D49:N5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B1DB-FA4B-44D8-868E-BD51D2D9C2FC}">
  <dimension ref="B2:W49"/>
  <sheetViews>
    <sheetView topLeftCell="D1" workbookViewId="0">
      <selection activeCell="P22" sqref="P22"/>
    </sheetView>
  </sheetViews>
  <sheetFormatPr defaultRowHeight="15" x14ac:dyDescent="0.25"/>
  <cols>
    <col min="7" max="7" width="12" bestFit="1" customWidth="1"/>
    <col min="8" max="9" width="15.28515625" customWidth="1"/>
    <col min="10" max="10" width="12" bestFit="1" customWidth="1"/>
    <col min="12" max="12" width="11.42578125" customWidth="1"/>
    <col min="13" max="13" width="12.42578125" customWidth="1"/>
    <col min="14" max="14" width="14.42578125" customWidth="1"/>
  </cols>
  <sheetData>
    <row r="2" spans="2:22" x14ac:dyDescent="0.25">
      <c r="B2" s="1"/>
      <c r="C2" s="1" t="s">
        <v>54</v>
      </c>
      <c r="D2" s="1" t="s">
        <v>55</v>
      </c>
      <c r="E2" s="1" t="s">
        <v>56</v>
      </c>
      <c r="F2" s="1" t="s">
        <v>57</v>
      </c>
      <c r="G2" s="1" t="s">
        <v>55</v>
      </c>
      <c r="H2" s="1" t="s">
        <v>100</v>
      </c>
      <c r="I2" s="1" t="s">
        <v>56</v>
      </c>
      <c r="J2" s="1" t="s">
        <v>100</v>
      </c>
      <c r="K2" s="1" t="s">
        <v>57</v>
      </c>
      <c r="L2" s="1" t="s">
        <v>100</v>
      </c>
      <c r="N2" s="1" t="s">
        <v>49</v>
      </c>
      <c r="O2" s="1" t="s">
        <v>93</v>
      </c>
      <c r="P2" s="1" t="s">
        <v>85</v>
      </c>
      <c r="Q2" s="1" t="s">
        <v>92</v>
      </c>
      <c r="S2" s="1" t="s">
        <v>101</v>
      </c>
      <c r="T2" s="1" t="s">
        <v>95</v>
      </c>
      <c r="U2" s="1" t="s">
        <v>94</v>
      </c>
      <c r="V2" s="1" t="s">
        <v>96</v>
      </c>
    </row>
    <row r="3" spans="2:22" x14ac:dyDescent="0.25">
      <c r="B3" t="s">
        <v>0</v>
      </c>
      <c r="C3">
        <f>AVERAGE(AVERAGE(T27:T28) + AVERAGE(T29:T30))</f>
        <v>1.95E-2</v>
      </c>
      <c r="D3">
        <f>C3/$W$27 * 130.82 * (271.15 + $W$28)/1000</f>
        <v>0.74578192649999986</v>
      </c>
      <c r="E3" s="4">
        <v>0.3</v>
      </c>
      <c r="F3" s="4">
        <v>2</v>
      </c>
      <c r="G3">
        <f>AVERAGE(D3:D5)</f>
        <v>0.66929147249999987</v>
      </c>
      <c r="H3">
        <f>_xlfn.STDEV.P(D3:D5)</f>
        <v>0.24036752450595417</v>
      </c>
      <c r="I3">
        <f>AVERAGE(E3:E5)</f>
        <v>0.46666666666666662</v>
      </c>
      <c r="J3">
        <f>_xlfn.STDEV.P(E3:E5)</f>
        <v>0.23570226039551589</v>
      </c>
      <c r="K3">
        <f>AVERAGE(F3:F5)</f>
        <v>2.6666666666666665</v>
      </c>
      <c r="L3">
        <f>_xlfn.STDEV.P(F3:F5)</f>
        <v>0.94280904158206336</v>
      </c>
      <c r="M3" t="s">
        <v>87</v>
      </c>
      <c r="N3">
        <f>-P!E74</f>
        <v>62.694300518134717</v>
      </c>
      <c r="O3">
        <f t="shared" ref="O3:O17" si="0">N3*(D3/100*D$18 + E3/100 *E$18)</f>
        <v>18.07078504011</v>
      </c>
      <c r="P3">
        <f>Chemical!K3</f>
        <v>151.58333333333337</v>
      </c>
      <c r="Q3">
        <f>P3-O3</f>
        <v>133.51254829322338</v>
      </c>
      <c r="S3">
        <f t="shared" ref="S3:S17" si="1">((P3/D$18 *2)+N3)*1000/N3</f>
        <v>1225.7532030259304</v>
      </c>
      <c r="T3">
        <f t="shared" ref="T3:T17" si="2">(N3*(E3/100+D3/100+F3/100+1)*1000)/N3</f>
        <v>1030.4578192649999</v>
      </c>
      <c r="U3">
        <f>P!P3</f>
        <v>990</v>
      </c>
      <c r="V3">
        <f>U3-T3</f>
        <v>-40.457819264999898</v>
      </c>
    </row>
    <row r="4" spans="2:22" x14ac:dyDescent="0.25">
      <c r="B4" t="s">
        <v>1</v>
      </c>
      <c r="C4">
        <f>AVERAGE(AVERAGE(T31:T32) + AVERAGE(T33:T34))</f>
        <v>2.4E-2</v>
      </c>
      <c r="D4">
        <f t="shared" ref="D4:D17" si="3">C4/$W$27 * 130.82 * (271.15 + $W$28)/1000</f>
        <v>0.91788544799999994</v>
      </c>
      <c r="E4" s="4">
        <v>0.3</v>
      </c>
      <c r="F4" s="4">
        <v>2</v>
      </c>
      <c r="N4">
        <f>-P!E75</f>
        <v>63.783783783783782</v>
      </c>
      <c r="O4">
        <f t="shared" si="0"/>
        <v>20.736175907820975</v>
      </c>
      <c r="P4">
        <f>Chemical!K4</f>
        <v>222.58333333333337</v>
      </c>
      <c r="Q4">
        <f t="shared" ref="Q4:Q17" si="4">P4-O4</f>
        <v>201.84715742551239</v>
      </c>
      <c r="S4">
        <f t="shared" si="1"/>
        <v>1325.8313683288757</v>
      </c>
      <c r="T4">
        <f t="shared" si="2"/>
        <v>1032.1788544799999</v>
      </c>
      <c r="U4">
        <f>P!P4</f>
        <v>988</v>
      </c>
      <c r="V4">
        <f t="shared" ref="V4:V17" si="5">U4-T4</f>
        <v>-44.178854479999927</v>
      </c>
    </row>
    <row r="5" spans="2:22" x14ac:dyDescent="0.25">
      <c r="B5" t="s">
        <v>2</v>
      </c>
      <c r="C5">
        <f>AVERAGE(AVERAGE(T35:T36) + AVERAGE(T37:T38))</f>
        <v>9.0000000000000011E-3</v>
      </c>
      <c r="D5">
        <f t="shared" si="3"/>
        <v>0.34420704299999999</v>
      </c>
      <c r="E5">
        <v>0.8</v>
      </c>
      <c r="F5">
        <v>4</v>
      </c>
      <c r="N5">
        <f>-P!E76</f>
        <v>65.508021390374324</v>
      </c>
      <c r="O5">
        <f t="shared" si="0"/>
        <v>27.275519093475129</v>
      </c>
      <c r="P5">
        <f>Chemical!K5</f>
        <v>177.58333333333337</v>
      </c>
      <c r="Q5">
        <f t="shared" si="4"/>
        <v>150.30781423985823</v>
      </c>
      <c r="S5">
        <f t="shared" si="1"/>
        <v>1253.1152143397044</v>
      </c>
      <c r="T5">
        <f t="shared" si="2"/>
        <v>1051.4420704300001</v>
      </c>
      <c r="U5">
        <f>P!P5</f>
        <v>1007</v>
      </c>
      <c r="V5">
        <f t="shared" si="5"/>
        <v>-44.442070430000058</v>
      </c>
    </row>
    <row r="6" spans="2:22" x14ac:dyDescent="0.25">
      <c r="B6" t="s">
        <v>3</v>
      </c>
      <c r="C6">
        <f>AVERAGE(AVERAGE(P27:P28) + AVERAGE(P29:P30))</f>
        <v>1.6500000000000001E-2</v>
      </c>
      <c r="D6">
        <f t="shared" si="3"/>
        <v>0.63104624549999988</v>
      </c>
      <c r="E6">
        <v>0.66</v>
      </c>
      <c r="F6">
        <v>3.4</v>
      </c>
      <c r="G6">
        <f t="shared" ref="G6:G15" si="6">AVERAGE(D6:D8)</f>
        <v>0.78402715349999985</v>
      </c>
      <c r="H6">
        <f t="shared" ref="H6:H15" si="7">_xlfn.STDEV.P(D6:D8)</f>
        <v>0.12490838832921909</v>
      </c>
      <c r="I6">
        <f t="shared" ref="I6:I15" si="8">AVERAGE(E6:E8)</f>
        <v>0.35333333333333333</v>
      </c>
      <c r="J6">
        <f t="shared" ref="J6:J15" si="9">_xlfn.STDEV.P(E6:E8)</f>
        <v>0.21684607956387458</v>
      </c>
      <c r="K6">
        <f t="shared" ref="K6:K15" si="10">AVERAGE(F6:F8)</f>
        <v>3.1333333333333333</v>
      </c>
      <c r="L6">
        <f t="shared" ref="L6:L15" si="11">_xlfn.STDEV.P(F6:F8)</f>
        <v>0.18856180831641264</v>
      </c>
      <c r="M6" t="s">
        <v>88</v>
      </c>
      <c r="N6">
        <f>-P!E77</f>
        <v>55.092592592592595</v>
      </c>
      <c r="O6">
        <f t="shared" si="0"/>
        <v>23.020335457660138</v>
      </c>
      <c r="P6">
        <f>Chemical!K6</f>
        <v>511.33333333333348</v>
      </c>
      <c r="Q6">
        <f t="shared" si="4"/>
        <v>488.31299787567332</v>
      </c>
      <c r="S6">
        <f t="shared" si="1"/>
        <v>1866.6054657156983</v>
      </c>
      <c r="T6">
        <f t="shared" si="2"/>
        <v>1046.910462455</v>
      </c>
      <c r="U6">
        <f>P!P6</f>
        <v>1031</v>
      </c>
      <c r="V6">
        <f t="shared" si="5"/>
        <v>-15.910462455000015</v>
      </c>
    </row>
    <row r="7" spans="2:22" x14ac:dyDescent="0.25">
      <c r="B7" t="s">
        <v>4</v>
      </c>
      <c r="C7">
        <f>AVERAGE(AVERAGE(P31:P32) + AVERAGE(P33:P34))</f>
        <v>2.0499999999999997E-2</v>
      </c>
      <c r="D7">
        <f t="shared" si="3"/>
        <v>0.78402715349999985</v>
      </c>
      <c r="E7">
        <v>0.2</v>
      </c>
      <c r="F7" s="4">
        <v>3</v>
      </c>
      <c r="N7">
        <f>-P!E78</f>
        <v>55.422222222222224</v>
      </c>
      <c r="O7">
        <f t="shared" si="0"/>
        <v>14.054998866701595</v>
      </c>
      <c r="P7" s="2">
        <f>Chemical!K7</f>
        <v>-123.66666666666652</v>
      </c>
      <c r="Q7" s="2">
        <f t="shared" si="4"/>
        <v>-137.72166553336811</v>
      </c>
      <c r="S7" s="2">
        <f t="shared" si="1"/>
        <v>791.65683915908016</v>
      </c>
      <c r="T7">
        <f t="shared" si="2"/>
        <v>1039.8402715350001</v>
      </c>
      <c r="U7">
        <f>P!P7</f>
        <v>1021</v>
      </c>
      <c r="V7">
        <f t="shared" si="5"/>
        <v>-18.840271535000056</v>
      </c>
    </row>
    <row r="8" spans="2:22" x14ac:dyDescent="0.25">
      <c r="B8" t="s">
        <v>5</v>
      </c>
      <c r="C8">
        <f>AVERAGE(AVERAGE(P35:P36) + AVERAGE(P37:P38))</f>
        <v>2.4500000000000001E-2</v>
      </c>
      <c r="D8">
        <f t="shared" si="3"/>
        <v>0.93700806149999982</v>
      </c>
      <c r="E8" s="4">
        <v>0.2</v>
      </c>
      <c r="F8" s="4">
        <v>3</v>
      </c>
      <c r="N8">
        <f>-P!E79</f>
        <v>57.155963302752291</v>
      </c>
      <c r="O8">
        <f t="shared" si="0"/>
        <v>16.367588988969345</v>
      </c>
      <c r="P8">
        <f>Chemical!K8</f>
        <v>234.33333333333348</v>
      </c>
      <c r="Q8">
        <f t="shared" si="4"/>
        <v>217.96574434436414</v>
      </c>
      <c r="S8">
        <f t="shared" si="1"/>
        <v>1382.8098030722902</v>
      </c>
      <c r="T8">
        <f t="shared" si="2"/>
        <v>1041.3700806149998</v>
      </c>
      <c r="U8">
        <f>P!P8</f>
        <v>1025</v>
      </c>
      <c r="V8">
        <f t="shared" si="5"/>
        <v>-16.370080614999779</v>
      </c>
    </row>
    <row r="9" spans="2:22" x14ac:dyDescent="0.25">
      <c r="B9" t="s">
        <v>6</v>
      </c>
      <c r="C9">
        <f>AVERAGE(AVERAGE(L27:L28) + AVERAGE(L29:L30))</f>
        <v>1.8000000000000002E-2</v>
      </c>
      <c r="D9">
        <f t="shared" si="3"/>
        <v>0.68841408599999998</v>
      </c>
      <c r="E9">
        <v>0</v>
      </c>
      <c r="F9" s="4"/>
      <c r="G9">
        <f t="shared" si="6"/>
        <v>0.7330335174999999</v>
      </c>
      <c r="H9">
        <f t="shared" si="7"/>
        <v>6.3101405172677164E-2</v>
      </c>
      <c r="I9">
        <f t="shared" si="8"/>
        <v>0.33333333333333331</v>
      </c>
      <c r="J9">
        <f t="shared" si="9"/>
        <v>0.23570226039551584</v>
      </c>
      <c r="K9" t="e">
        <f t="shared" si="10"/>
        <v>#DIV/0!</v>
      </c>
      <c r="L9" t="e">
        <f t="shared" si="11"/>
        <v>#DIV/0!</v>
      </c>
      <c r="M9" t="s">
        <v>89</v>
      </c>
      <c r="N9">
        <f>-P!E80</f>
        <v>75.048543689320383</v>
      </c>
      <c r="O9">
        <f t="shared" si="0"/>
        <v>11.066530461358019</v>
      </c>
      <c r="P9">
        <f>Chemical!K9</f>
        <v>23.333333333333485</v>
      </c>
      <c r="Q9">
        <f t="shared" si="4"/>
        <v>12.266802871975466</v>
      </c>
      <c r="S9">
        <f t="shared" si="1"/>
        <v>1029.0298669417461</v>
      </c>
      <c r="T9">
        <f t="shared" si="2"/>
        <v>1006.8841408599999</v>
      </c>
      <c r="U9" s="2">
        <f>P!P9</f>
        <v>748</v>
      </c>
      <c r="V9" s="2">
        <f t="shared" si="5"/>
        <v>-258.88414085999989</v>
      </c>
    </row>
    <row r="10" spans="2:22" x14ac:dyDescent="0.25">
      <c r="B10" t="s">
        <v>7</v>
      </c>
      <c r="C10">
        <f>AVERAGE(AVERAGE(L31:L32) + AVERAGE(L33:L34))</f>
        <v>2.1499999999999998E-2</v>
      </c>
      <c r="D10">
        <f t="shared" si="3"/>
        <v>0.82227238049999973</v>
      </c>
      <c r="E10" s="4">
        <v>0.5</v>
      </c>
      <c r="F10" s="4"/>
      <c r="N10">
        <f>-P!E81</f>
        <v>52.950819672131146</v>
      </c>
      <c r="O10">
        <f t="shared" si="0"/>
        <v>20.665685291918244</v>
      </c>
      <c r="P10">
        <f>Chemical!K10</f>
        <v>340.33333333333348</v>
      </c>
      <c r="Q10">
        <f t="shared" si="4"/>
        <v>319.66764804141525</v>
      </c>
      <c r="S10">
        <f t="shared" si="1"/>
        <v>1600.1258432509574</v>
      </c>
      <c r="T10">
        <f t="shared" si="2"/>
        <v>1013.222723805</v>
      </c>
      <c r="U10" s="2">
        <f>P!P10</f>
        <v>569</v>
      </c>
      <c r="V10" s="2">
        <f t="shared" si="5"/>
        <v>-444.22272380499999</v>
      </c>
    </row>
    <row r="11" spans="2:22" x14ac:dyDescent="0.25">
      <c r="B11" t="s">
        <v>8</v>
      </c>
      <c r="C11">
        <f>AVERAGE(AVERAGE(L35:L36) + AVERAGE(L37:L38))</f>
        <v>1.8000000000000002E-2</v>
      </c>
      <c r="D11">
        <f t="shared" si="3"/>
        <v>0.68841408599999998</v>
      </c>
      <c r="E11" s="4">
        <v>0.5</v>
      </c>
      <c r="F11" s="4"/>
      <c r="N11">
        <f>-P!E82</f>
        <v>65.714285714285708</v>
      </c>
      <c r="O11">
        <f t="shared" si="0"/>
        <v>23.762830960250284</v>
      </c>
      <c r="P11">
        <f>Chemical!K11</f>
        <v>64.333333333333485</v>
      </c>
      <c r="Q11">
        <f t="shared" si="4"/>
        <v>40.570502373083201</v>
      </c>
      <c r="S11">
        <f t="shared" si="1"/>
        <v>1091.4085440939664</v>
      </c>
      <c r="T11">
        <f t="shared" si="2"/>
        <v>1011.88414086</v>
      </c>
      <c r="U11" s="2">
        <f>P!P11</f>
        <v>748</v>
      </c>
      <c r="V11" s="2">
        <f t="shared" si="5"/>
        <v>-263.88414086</v>
      </c>
    </row>
    <row r="12" spans="2:22" x14ac:dyDescent="0.25">
      <c r="B12" t="s">
        <v>9</v>
      </c>
      <c r="C12">
        <f>AVERAGE(AVERAGE(H27:H28) + AVERAGE(H29:H30))</f>
        <v>1.3999999999999999E-2</v>
      </c>
      <c r="D12">
        <f t="shared" si="3"/>
        <v>0.5354331779999999</v>
      </c>
      <c r="E12" s="4">
        <v>0.4</v>
      </c>
      <c r="F12" s="4"/>
      <c r="G12">
        <f t="shared" si="6"/>
        <v>0.72665931299999986</v>
      </c>
      <c r="H12">
        <f t="shared" si="7"/>
        <v>0.18408102245620617</v>
      </c>
      <c r="I12">
        <f t="shared" si="8"/>
        <v>0.55333333333333334</v>
      </c>
      <c r="J12">
        <f t="shared" si="9"/>
        <v>0.21684607956387458</v>
      </c>
      <c r="K12" t="e">
        <f t="shared" si="10"/>
        <v>#DIV/0!</v>
      </c>
      <c r="L12" t="e">
        <f t="shared" si="11"/>
        <v>#DIV/0!</v>
      </c>
      <c r="M12" t="s">
        <v>90</v>
      </c>
      <c r="N12">
        <f>-P!E83</f>
        <v>63.402777777777779</v>
      </c>
      <c r="O12">
        <f t="shared" si="0"/>
        <v>18.133814950159636</v>
      </c>
      <c r="P12">
        <f>Chemical!K12</f>
        <v>382</v>
      </c>
      <c r="Q12">
        <f t="shared" si="4"/>
        <v>363.86618504984034</v>
      </c>
      <c r="S12">
        <f t="shared" si="1"/>
        <v>1562.5557999760692</v>
      </c>
      <c r="T12">
        <f t="shared" si="2"/>
        <v>1009.3543317800001</v>
      </c>
      <c r="U12" s="2">
        <v>553</v>
      </c>
      <c r="V12" s="2">
        <f t="shared" si="5"/>
        <v>-456.35433178000005</v>
      </c>
    </row>
    <row r="13" spans="2:22" x14ac:dyDescent="0.25">
      <c r="B13" t="s">
        <v>10</v>
      </c>
      <c r="C13">
        <f>AVERAGE(AVERAGE(H31:H32) + AVERAGE(H33:H34))</f>
        <v>1.7500000000000002E-2</v>
      </c>
      <c r="D13">
        <f t="shared" si="3"/>
        <v>0.66929147249999998</v>
      </c>
      <c r="E13" s="4">
        <v>0.4</v>
      </c>
      <c r="F13" s="4"/>
      <c r="N13">
        <f>-P!E84</f>
        <v>63.463687150837991</v>
      </c>
      <c r="O13">
        <f t="shared" si="0"/>
        <v>19.970894813027485</v>
      </c>
      <c r="P13">
        <f>Chemical!K13</f>
        <v>486</v>
      </c>
      <c r="Q13">
        <f t="shared" si="4"/>
        <v>466.02910518697252</v>
      </c>
      <c r="S13">
        <f t="shared" si="1"/>
        <v>1715.0254467984375</v>
      </c>
      <c r="T13">
        <f t="shared" si="2"/>
        <v>1010.6929147249999</v>
      </c>
      <c r="U13" s="2">
        <v>640</v>
      </c>
      <c r="V13" s="2">
        <f t="shared" si="5"/>
        <v>-370.69291472499992</v>
      </c>
    </row>
    <row r="14" spans="2:22" x14ac:dyDescent="0.25">
      <c r="B14" t="s">
        <v>11</v>
      </c>
      <c r="C14">
        <f>AVERAGE(AVERAGE(H35:H36) + AVERAGE(H37:H38))</f>
        <v>2.5500000000000002E-2</v>
      </c>
      <c r="D14">
        <f t="shared" si="3"/>
        <v>0.97525328849999993</v>
      </c>
      <c r="E14">
        <f>(1.7+0.02) /2</f>
        <v>0.86</v>
      </c>
      <c r="F14" s="4"/>
      <c r="N14">
        <f>-P!E85</f>
        <v>63.085106382978722</v>
      </c>
      <c r="O14">
        <f t="shared" si="0"/>
        <v>36.415073601834372</v>
      </c>
      <c r="P14" s="2">
        <f>Chemical!K14</f>
        <v>-429</v>
      </c>
      <c r="Q14" s="2">
        <f t="shared" si="4"/>
        <v>-465.41507360183437</v>
      </c>
      <c r="S14" s="2">
        <f t="shared" si="1"/>
        <v>365.04787412435468</v>
      </c>
      <c r="T14">
        <f t="shared" si="2"/>
        <v>1018.352532885</v>
      </c>
      <c r="U14" s="2">
        <v>920</v>
      </c>
      <c r="V14" s="2">
        <f t="shared" si="5"/>
        <v>-98.35253288499996</v>
      </c>
    </row>
    <row r="15" spans="2:22" x14ac:dyDescent="0.25">
      <c r="B15" t="s">
        <v>12</v>
      </c>
      <c r="C15">
        <f>AVERAGE(AVERAGE(D27:D28) + AVERAGE(D29:D30))</f>
        <v>2.4E-2</v>
      </c>
      <c r="D15">
        <f t="shared" si="3"/>
        <v>0.91788544799999994</v>
      </c>
      <c r="E15" s="2">
        <v>0.5</v>
      </c>
      <c r="F15" s="4"/>
      <c r="G15">
        <f t="shared" si="6"/>
        <v>0.73940772199999982</v>
      </c>
      <c r="H15">
        <f t="shared" si="7"/>
        <v>0.17756479046834855</v>
      </c>
      <c r="I15">
        <f t="shared" si="8"/>
        <v>0.46666666666666662</v>
      </c>
      <c r="J15">
        <f t="shared" si="9"/>
        <v>4.7140452079103452E-2</v>
      </c>
      <c r="K15" t="e">
        <f t="shared" si="10"/>
        <v>#DIV/0!</v>
      </c>
      <c r="L15" t="e">
        <f t="shared" si="11"/>
        <v>#DIV/0!</v>
      </c>
      <c r="M15" t="s">
        <v>91</v>
      </c>
      <c r="N15">
        <f>-P!E86</f>
        <v>64.278074866310163</v>
      </c>
      <c r="O15">
        <f t="shared" si="0"/>
        <v>26.40293035721087</v>
      </c>
      <c r="P15">
        <f>Chemical!K15</f>
        <v>406.01926694444455</v>
      </c>
      <c r="Q15">
        <f t="shared" si="4"/>
        <v>379.61633658723366</v>
      </c>
      <c r="S15">
        <f t="shared" si="1"/>
        <v>1589.7857983240747</v>
      </c>
      <c r="T15">
        <f t="shared" si="2"/>
        <v>1014.1788544799999</v>
      </c>
      <c r="U15">
        <v>1215</v>
      </c>
      <c r="V15">
        <f t="shared" si="5"/>
        <v>200.82114552000007</v>
      </c>
    </row>
    <row r="16" spans="2:22" x14ac:dyDescent="0.25">
      <c r="B16" t="s">
        <v>13</v>
      </c>
      <c r="C16">
        <f>AVERAGE(AVERAGE(D31:D32) + AVERAGE(D33:D34))</f>
        <v>1.2999999999999999E-2</v>
      </c>
      <c r="D16">
        <f t="shared" si="3"/>
        <v>0.49718795099999991</v>
      </c>
      <c r="E16" s="2">
        <v>0.5</v>
      </c>
      <c r="F16" s="4"/>
      <c r="N16">
        <f>-P!E87</f>
        <v>64.767441860465112</v>
      </c>
      <c r="O16">
        <f t="shared" si="0"/>
        <v>20.76752861872551</v>
      </c>
      <c r="P16">
        <f>Chemical!K16</f>
        <v>321.01926694444455</v>
      </c>
      <c r="Q16">
        <f t="shared" si="4"/>
        <v>300.25173832571903</v>
      </c>
      <c r="S16">
        <f t="shared" si="1"/>
        <v>1462.7909780322796</v>
      </c>
      <c r="T16">
        <f t="shared" si="2"/>
        <v>1009.9718795099998</v>
      </c>
      <c r="U16">
        <v>1168</v>
      </c>
      <c r="V16">
        <f t="shared" si="5"/>
        <v>158.02812049000022</v>
      </c>
    </row>
    <row r="17" spans="2:23" x14ac:dyDescent="0.25">
      <c r="B17" t="s">
        <v>14</v>
      </c>
      <c r="C17">
        <f>AVERAGE(AVERAGE(D35:D36) + AVERAGE(D37:D38))</f>
        <v>2.1000000000000001E-2</v>
      </c>
      <c r="D17">
        <f t="shared" si="3"/>
        <v>0.80314976699999985</v>
      </c>
      <c r="E17">
        <v>0.4</v>
      </c>
      <c r="F17" s="4"/>
      <c r="N17">
        <f>-P!E88</f>
        <v>62.755102040816332</v>
      </c>
      <c r="O17">
        <f t="shared" si="0"/>
        <v>21.547257985327658</v>
      </c>
      <c r="P17" s="2">
        <f>Chemical!K17</f>
        <v>-1403.9807330555554</v>
      </c>
      <c r="Q17" s="2">
        <f t="shared" si="4"/>
        <v>-1425.5279910408831</v>
      </c>
      <c r="S17" s="2">
        <f t="shared" si="1"/>
        <v>-1088.923987754692</v>
      </c>
      <c r="T17">
        <f t="shared" si="2"/>
        <v>1012.03149767</v>
      </c>
      <c r="U17">
        <v>1095</v>
      </c>
      <c r="V17">
        <f t="shared" si="5"/>
        <v>82.968502329999978</v>
      </c>
    </row>
    <row r="18" spans="2:23" x14ac:dyDescent="0.25">
      <c r="B18" t="s">
        <v>81</v>
      </c>
      <c r="D18">
        <v>21.42</v>
      </c>
      <c r="E18">
        <v>42.83</v>
      </c>
      <c r="F18">
        <v>0</v>
      </c>
    </row>
    <row r="26" spans="2:23" x14ac:dyDescent="0.25">
      <c r="B26" s="1" t="s">
        <v>65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 x14ac:dyDescent="0.25">
      <c r="B27" s="1" t="s">
        <v>12</v>
      </c>
      <c r="C27">
        <v>1</v>
      </c>
      <c r="D27">
        <v>7.0000000000000001E-3</v>
      </c>
      <c r="F27" s="1" t="s">
        <v>9</v>
      </c>
      <c r="G27">
        <v>1</v>
      </c>
      <c r="H27">
        <v>1.2E-2</v>
      </c>
      <c r="J27" s="1" t="s">
        <v>6</v>
      </c>
      <c r="K27">
        <v>1</v>
      </c>
      <c r="L27">
        <v>0.01</v>
      </c>
      <c r="N27" s="1" t="s">
        <v>3</v>
      </c>
      <c r="O27">
        <v>1</v>
      </c>
      <c r="P27">
        <v>8.0000000000000002E-3</v>
      </c>
      <c r="R27" s="1" t="s">
        <v>0</v>
      </c>
      <c r="S27">
        <v>1</v>
      </c>
      <c r="T27">
        <v>1.0999999999999999E-2</v>
      </c>
      <c r="V27" s="1" t="s">
        <v>64</v>
      </c>
      <c r="W27">
        <v>1</v>
      </c>
    </row>
    <row r="28" spans="2:23" x14ac:dyDescent="0.25">
      <c r="B28" s="1"/>
      <c r="C28">
        <v>2</v>
      </c>
      <c r="D28">
        <v>3.0000000000000001E-3</v>
      </c>
      <c r="F28" s="1"/>
      <c r="G28">
        <v>2</v>
      </c>
      <c r="H28">
        <v>0.01</v>
      </c>
      <c r="J28" s="1"/>
      <c r="K28">
        <v>2</v>
      </c>
      <c r="L28">
        <v>8.9999999999999993E-3</v>
      </c>
      <c r="N28" s="1"/>
      <c r="O28">
        <v>2</v>
      </c>
      <c r="P28">
        <v>8.9999999999999993E-3</v>
      </c>
      <c r="R28" s="1"/>
      <c r="S28">
        <v>2</v>
      </c>
      <c r="T28">
        <v>1.0999999999999999E-2</v>
      </c>
      <c r="V28" s="1" t="s">
        <v>31</v>
      </c>
      <c r="W28">
        <v>21.2</v>
      </c>
    </row>
    <row r="29" spans="2:23" x14ac:dyDescent="0.25">
      <c r="B29" s="1"/>
      <c r="C29">
        <v>1</v>
      </c>
      <c r="D29">
        <v>0.03</v>
      </c>
      <c r="F29" s="1"/>
      <c r="G29">
        <v>1</v>
      </c>
      <c r="H29">
        <v>2E-3</v>
      </c>
      <c r="J29" s="1"/>
      <c r="K29">
        <v>1</v>
      </c>
      <c r="L29">
        <v>7.0000000000000001E-3</v>
      </c>
      <c r="N29" s="1"/>
      <c r="O29">
        <v>1</v>
      </c>
      <c r="P29">
        <v>7.0000000000000001E-3</v>
      </c>
      <c r="R29" s="1"/>
      <c r="S29">
        <v>1</v>
      </c>
      <c r="T29">
        <v>8.9999999999999993E-3</v>
      </c>
      <c r="V29" s="1"/>
    </row>
    <row r="30" spans="2:23" x14ac:dyDescent="0.25">
      <c r="B30" s="1"/>
      <c r="C30">
        <v>2</v>
      </c>
      <c r="D30">
        <v>8.0000000000000002E-3</v>
      </c>
      <c r="F30" s="1"/>
      <c r="G30">
        <v>2</v>
      </c>
      <c r="H30">
        <v>4.0000000000000001E-3</v>
      </c>
      <c r="J30" s="1"/>
      <c r="K30">
        <v>2</v>
      </c>
      <c r="L30">
        <v>0.01</v>
      </c>
      <c r="N30" s="1"/>
      <c r="O30">
        <v>2</v>
      </c>
      <c r="P30">
        <v>8.9999999999999993E-3</v>
      </c>
      <c r="R30" s="1"/>
      <c r="S30">
        <v>2</v>
      </c>
      <c r="T30">
        <v>8.0000000000000002E-3</v>
      </c>
      <c r="V30" s="1"/>
    </row>
    <row r="31" spans="2:23" x14ac:dyDescent="0.25">
      <c r="B31" s="1" t="s">
        <v>13</v>
      </c>
      <c r="C31">
        <v>1</v>
      </c>
      <c r="D31">
        <v>4.0000000000000001E-3</v>
      </c>
      <c r="F31" s="1" t="s">
        <v>10</v>
      </c>
      <c r="G31">
        <v>1</v>
      </c>
      <c r="H31">
        <v>0.01</v>
      </c>
      <c r="J31" s="1" t="s">
        <v>7</v>
      </c>
      <c r="K31">
        <v>1</v>
      </c>
      <c r="L31">
        <v>1.2999999999999999E-2</v>
      </c>
      <c r="N31" s="1" t="s">
        <v>4</v>
      </c>
      <c r="O31">
        <v>1</v>
      </c>
      <c r="P31">
        <v>1.0999999999999999E-2</v>
      </c>
      <c r="R31" s="1" t="s">
        <v>1</v>
      </c>
      <c r="S31">
        <v>1</v>
      </c>
      <c r="T31">
        <v>2.1000000000000001E-2</v>
      </c>
      <c r="V31" s="1"/>
    </row>
    <row r="32" spans="2:23" x14ac:dyDescent="0.25">
      <c r="B32" s="1"/>
      <c r="C32">
        <v>2</v>
      </c>
      <c r="D32">
        <v>1.0999999999999999E-2</v>
      </c>
      <c r="F32" s="1"/>
      <c r="G32">
        <v>2</v>
      </c>
      <c r="H32">
        <v>8.0000000000000002E-3</v>
      </c>
      <c r="J32" s="1"/>
      <c r="K32">
        <v>2</v>
      </c>
      <c r="L32">
        <v>7.0000000000000001E-3</v>
      </c>
      <c r="N32" s="1"/>
      <c r="O32">
        <v>2</v>
      </c>
      <c r="P32">
        <v>0.01</v>
      </c>
      <c r="R32" s="1"/>
      <c r="S32">
        <v>2</v>
      </c>
      <c r="T32">
        <v>1.0999999999999999E-2</v>
      </c>
      <c r="V32" s="1"/>
    </row>
    <row r="33" spans="2:22" x14ac:dyDescent="0.25">
      <c r="B33" s="1"/>
      <c r="C33">
        <v>1</v>
      </c>
      <c r="D33">
        <v>5.0000000000000001E-3</v>
      </c>
      <c r="F33" s="1"/>
      <c r="G33">
        <v>1</v>
      </c>
      <c r="H33">
        <v>0.01</v>
      </c>
      <c r="J33" s="1"/>
      <c r="K33">
        <v>1</v>
      </c>
      <c r="L33">
        <v>1.2E-2</v>
      </c>
      <c r="N33" s="1"/>
      <c r="O33">
        <v>1</v>
      </c>
      <c r="P33">
        <v>0.01</v>
      </c>
      <c r="R33" s="1"/>
      <c r="S33">
        <v>1</v>
      </c>
      <c r="T33">
        <v>6.0000000000000001E-3</v>
      </c>
      <c r="V33" s="1"/>
    </row>
    <row r="34" spans="2:22" x14ac:dyDescent="0.25">
      <c r="B34" s="1"/>
      <c r="C34">
        <v>2</v>
      </c>
      <c r="D34">
        <v>6.0000000000000001E-3</v>
      </c>
      <c r="F34" s="1"/>
      <c r="G34">
        <v>2</v>
      </c>
      <c r="H34">
        <v>7.0000000000000001E-3</v>
      </c>
      <c r="J34" s="1"/>
      <c r="K34">
        <v>2</v>
      </c>
      <c r="L34">
        <v>1.0999999999999999E-2</v>
      </c>
      <c r="N34" s="1"/>
      <c r="O34">
        <v>2</v>
      </c>
      <c r="P34">
        <v>0.01</v>
      </c>
      <c r="R34" s="1"/>
      <c r="S34">
        <v>2</v>
      </c>
      <c r="T34">
        <v>0.01</v>
      </c>
      <c r="V34" s="1"/>
    </row>
    <row r="35" spans="2:22" x14ac:dyDescent="0.25">
      <c r="B35" s="1" t="s">
        <v>14</v>
      </c>
      <c r="C35">
        <v>1</v>
      </c>
      <c r="D35">
        <v>0.01</v>
      </c>
      <c r="F35" s="1" t="s">
        <v>11</v>
      </c>
      <c r="G35">
        <v>1</v>
      </c>
      <c r="H35">
        <v>1.4999999999999999E-2</v>
      </c>
      <c r="J35" s="1" t="s">
        <v>8</v>
      </c>
      <c r="K35">
        <v>1</v>
      </c>
      <c r="L35">
        <v>8.0000000000000002E-3</v>
      </c>
      <c r="N35" s="1" t="s">
        <v>5</v>
      </c>
      <c r="O35">
        <v>1</v>
      </c>
      <c r="P35">
        <v>8.9999999999999993E-3</v>
      </c>
      <c r="R35" s="1" t="s">
        <v>2</v>
      </c>
      <c r="S35">
        <v>1</v>
      </c>
      <c r="T35">
        <v>6.0000000000000001E-3</v>
      </c>
      <c r="V35" s="1"/>
    </row>
    <row r="36" spans="2:22" x14ac:dyDescent="0.25">
      <c r="B36" s="1"/>
      <c r="C36">
        <v>2</v>
      </c>
      <c r="D36">
        <v>1.6E-2</v>
      </c>
      <c r="F36" s="1"/>
      <c r="G36">
        <v>2</v>
      </c>
      <c r="H36">
        <v>8.9999999999999993E-3</v>
      </c>
      <c r="J36" s="1"/>
      <c r="K36">
        <v>2</v>
      </c>
      <c r="L36">
        <v>8.9999999999999993E-3</v>
      </c>
      <c r="N36" s="1"/>
      <c r="O36">
        <v>2</v>
      </c>
      <c r="P36">
        <v>1.4E-2</v>
      </c>
      <c r="R36" s="1"/>
      <c r="S36">
        <v>2</v>
      </c>
      <c r="T36">
        <v>6.0000000000000001E-3</v>
      </c>
      <c r="V36" s="1"/>
    </row>
    <row r="37" spans="2:22" x14ac:dyDescent="0.25">
      <c r="B37" s="1"/>
      <c r="C37">
        <v>1</v>
      </c>
      <c r="D37">
        <v>0.01</v>
      </c>
      <c r="F37" s="1"/>
      <c r="G37">
        <v>1</v>
      </c>
      <c r="H37">
        <v>1.4E-2</v>
      </c>
      <c r="J37" s="1"/>
      <c r="K37">
        <v>1</v>
      </c>
      <c r="L37">
        <v>8.0000000000000002E-3</v>
      </c>
      <c r="N37" s="1"/>
      <c r="O37">
        <v>1</v>
      </c>
      <c r="P37">
        <v>1.4E-2</v>
      </c>
      <c r="R37" s="1"/>
      <c r="S37">
        <v>1</v>
      </c>
      <c r="T37">
        <v>3.0000000000000001E-3</v>
      </c>
      <c r="V37" s="1"/>
    </row>
    <row r="38" spans="2:22" x14ac:dyDescent="0.25">
      <c r="B38" s="1"/>
      <c r="C38">
        <v>2</v>
      </c>
      <c r="D38">
        <v>6.0000000000000001E-3</v>
      </c>
      <c r="F38" s="1"/>
      <c r="G38">
        <v>2</v>
      </c>
      <c r="H38">
        <v>1.2999999999999999E-2</v>
      </c>
      <c r="J38" s="1"/>
      <c r="K38">
        <v>2</v>
      </c>
      <c r="L38">
        <v>1.0999999999999999E-2</v>
      </c>
      <c r="N38" s="1"/>
      <c r="O38">
        <v>2</v>
      </c>
      <c r="P38">
        <v>1.2E-2</v>
      </c>
      <c r="R38" s="1"/>
      <c r="S38">
        <v>2</v>
      </c>
      <c r="T38">
        <v>3.0000000000000001E-3</v>
      </c>
      <c r="V38" s="1"/>
    </row>
    <row r="43" spans="2:22" x14ac:dyDescent="0.25">
      <c r="B43" t="s">
        <v>82</v>
      </c>
      <c r="D43" t="s">
        <v>83</v>
      </c>
      <c r="E43" t="s">
        <v>83</v>
      </c>
      <c r="F43" t="s">
        <v>83</v>
      </c>
      <c r="H43" t="s">
        <v>84</v>
      </c>
    </row>
    <row r="44" spans="2:22" x14ac:dyDescent="0.25">
      <c r="B44">
        <f>[1]COD!F48</f>
        <v>0</v>
      </c>
      <c r="D44">
        <f>B44/$E$18</f>
        <v>0</v>
      </c>
      <c r="E44">
        <f>B44/$E$18</f>
        <v>0</v>
      </c>
      <c r="F44">
        <f>B44/$D$18</f>
        <v>0</v>
      </c>
      <c r="H44" s="10">
        <f>MAX(D44:F44)</f>
        <v>0</v>
      </c>
    </row>
    <row r="45" spans="2:22" x14ac:dyDescent="0.25">
      <c r="B45">
        <f>[1]COD!F49</f>
        <v>0</v>
      </c>
      <c r="D45">
        <f t="shared" ref="D45:D46" si="12">B45/$E$10</f>
        <v>0</v>
      </c>
      <c r="E45">
        <f t="shared" ref="E45:E46" si="13">B45/$E$10</f>
        <v>0</v>
      </c>
      <c r="F45" t="e">
        <f t="shared" ref="F45:F46" si="14">B45/$F$10</f>
        <v>#DIV/0!</v>
      </c>
      <c r="H45" s="10" t="e">
        <f t="shared" ref="H45:H46" si="15">MAX(D45:F45)</f>
        <v>#DIV/0!</v>
      </c>
    </row>
    <row r="46" spans="2:22" x14ac:dyDescent="0.25">
      <c r="B46">
        <f>[1]COD!F50</f>
        <v>0</v>
      </c>
      <c r="D46">
        <f t="shared" si="12"/>
        <v>0</v>
      </c>
      <c r="E46">
        <f t="shared" si="13"/>
        <v>0</v>
      </c>
      <c r="F46" t="e">
        <f t="shared" si="14"/>
        <v>#DIV/0!</v>
      </c>
      <c r="H46" s="10" t="e">
        <f t="shared" si="15"/>
        <v>#DIV/0!</v>
      </c>
    </row>
    <row r="47" spans="2:22" x14ac:dyDescent="0.25">
      <c r="H47" s="10"/>
    </row>
    <row r="48" spans="2:22" x14ac:dyDescent="0.25">
      <c r="H48" s="10" t="e">
        <f xml:space="preserve"> AVERAGE(H44:H46)</f>
        <v>#DIV/0!</v>
      </c>
    </row>
    <row r="49" spans="8:8" x14ac:dyDescent="0.25">
      <c r="H49" s="10" t="e">
        <f>AVEDEV(H44:H46)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Composition</vt:lpstr>
      <vt:lpstr>Chemical</vt:lpstr>
      <vt:lpstr>VSSTSS</vt:lpstr>
      <vt:lpstr>P</vt:lpstr>
      <vt:lpstr>Gas 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 Nikolaevich Myshkin</dc:creator>
  <cp:lastModifiedBy>Lev Nikolaevich Myshkin</cp:lastModifiedBy>
  <dcterms:created xsi:type="dcterms:W3CDTF">2015-06-05T18:19:34Z</dcterms:created>
  <dcterms:modified xsi:type="dcterms:W3CDTF">2022-07-20T14:19:01Z</dcterms:modified>
</cp:coreProperties>
</file>