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ronal_000\Desktop\all_is\TU\year_4\Thesis\models, data etc\Lab data\"/>
    </mc:Choice>
  </mc:AlternateContent>
  <xr:revisionPtr revIDLastSave="0" documentId="13_ncr:1_{5B62BD45-A812-4E6F-A88D-3EA09F0A297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" sheetId="1" r:id="rId1"/>
    <sheet name="Gas composition" sheetId="4" r:id="rId2"/>
    <sheet name="COD" sheetId="3" r:id="rId3"/>
    <sheet name="TSSVS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4" l="1"/>
  <c r="D13" i="4"/>
  <c r="H13" i="4"/>
  <c r="H18" i="4" s="1"/>
  <c r="T42" i="2"/>
  <c r="S42" i="2"/>
  <c r="T39" i="2"/>
  <c r="S39" i="2"/>
  <c r="Q41" i="2"/>
  <c r="O46" i="2"/>
  <c r="O47" i="2"/>
  <c r="E16" i="1"/>
  <c r="D15" i="1"/>
  <c r="C15" i="1"/>
  <c r="C18" i="1"/>
  <c r="C23" i="1" s="1"/>
  <c r="O45" i="2"/>
  <c r="Q38" i="2"/>
  <c r="H14" i="4"/>
  <c r="H15" i="4"/>
  <c r="B14" i="4"/>
  <c r="B15" i="4"/>
  <c r="B13" i="4"/>
  <c r="F13" i="4" s="1"/>
  <c r="I3" i="4"/>
  <c r="D14" i="4"/>
  <c r="E14" i="4"/>
  <c r="D15" i="4"/>
  <c r="E15" i="4"/>
  <c r="D17" i="3"/>
  <c r="F17" i="3" s="1"/>
  <c r="G17" i="3" s="1"/>
  <c r="I4" i="4"/>
  <c r="I5" i="4"/>
  <c r="I6" i="4"/>
  <c r="I7" i="4"/>
  <c r="I8" i="4"/>
  <c r="H4" i="4"/>
  <c r="H5" i="4"/>
  <c r="H6" i="4"/>
  <c r="H7" i="4"/>
  <c r="H8" i="4"/>
  <c r="H3" i="4"/>
  <c r="N20" i="2"/>
  <c r="N19" i="2"/>
  <c r="N17" i="2"/>
  <c r="G39" i="2"/>
  <c r="C24" i="3"/>
  <c r="B24" i="3"/>
  <c r="C18" i="3"/>
  <c r="C19" i="3"/>
  <c r="C17" i="3"/>
  <c r="B17" i="3"/>
  <c r="E6" i="3"/>
  <c r="E2" i="3"/>
  <c r="D6" i="3"/>
  <c r="D2" i="3"/>
  <c r="P31" i="2"/>
  <c r="S32" i="2" s="1"/>
  <c r="P28" i="2"/>
  <c r="H17" i="4" l="1"/>
  <c r="P2" i="2"/>
  <c r="N2" i="2"/>
  <c r="M27" i="2"/>
  <c r="F14" i="4"/>
  <c r="F15" i="4"/>
  <c r="F4" i="4"/>
  <c r="F5" i="4"/>
  <c r="F6" i="4"/>
  <c r="F7" i="4"/>
  <c r="F8" i="4"/>
  <c r="F3" i="4"/>
  <c r="C21" i="3"/>
  <c r="E21" i="3"/>
  <c r="C22" i="3"/>
  <c r="E22" i="3"/>
  <c r="D11" i="3"/>
  <c r="D12" i="3"/>
  <c r="D10" i="3"/>
  <c r="P27" i="2" l="1"/>
  <c r="B41" i="2" l="1"/>
  <c r="I38" i="2" s="1"/>
  <c r="B42" i="2"/>
  <c r="O5" i="2"/>
  <c r="O2" i="2"/>
  <c r="B32" i="2"/>
  <c r="Q27" i="2"/>
  <c r="I28" i="2"/>
  <c r="I27" i="2"/>
  <c r="G31" i="2"/>
  <c r="F31" i="2"/>
  <c r="E31" i="2"/>
  <c r="E41" i="2"/>
  <c r="F37" i="2"/>
  <c r="F27" i="2"/>
  <c r="C42" i="2"/>
  <c r="F42" i="2"/>
  <c r="E42" i="2"/>
  <c r="D42" i="2"/>
  <c r="D41" i="2"/>
  <c r="C41" i="2"/>
  <c r="G27" i="2"/>
  <c r="G28" i="2"/>
  <c r="G29" i="2"/>
  <c r="G38" i="2"/>
  <c r="G37" i="2"/>
  <c r="G41" i="2" s="1"/>
  <c r="F39" i="2"/>
  <c r="F38" i="2"/>
  <c r="F41" i="2" s="1"/>
  <c r="B31" i="2"/>
  <c r="B27" i="2"/>
  <c r="I37" i="2" l="1"/>
  <c r="G42" i="2"/>
  <c r="M37" i="2"/>
  <c r="P40" i="2" l="1"/>
  <c r="P37" i="2"/>
  <c r="P42" i="2"/>
  <c r="P39" i="2"/>
  <c r="B44" i="1"/>
  <c r="B53" i="1"/>
  <c r="E32" i="2"/>
  <c r="D32" i="2"/>
  <c r="C32" i="2"/>
  <c r="D31" i="2"/>
  <c r="C31" i="2"/>
  <c r="F29" i="2"/>
  <c r="F28" i="2"/>
  <c r="P6" i="4"/>
  <c r="O6" i="4" s="1"/>
  <c r="P7" i="4"/>
  <c r="O7" i="4" s="1"/>
  <c r="P8" i="4"/>
  <c r="O8" i="4" s="1"/>
  <c r="P4" i="4"/>
  <c r="O4" i="4" s="1"/>
  <c r="P5" i="4"/>
  <c r="O5" i="4" s="1"/>
  <c r="P3" i="4"/>
  <c r="O3" i="4" s="1"/>
  <c r="K5" i="2"/>
  <c r="M5" i="2" s="1"/>
  <c r="P17" i="2"/>
  <c r="O17" i="2"/>
  <c r="P14" i="2"/>
  <c r="O14" i="2"/>
  <c r="P11" i="2"/>
  <c r="O11" i="2"/>
  <c r="P8" i="2"/>
  <c r="O8" i="2"/>
  <c r="N14" i="2"/>
  <c r="N11" i="2"/>
  <c r="N8" i="2"/>
  <c r="M8" i="2"/>
  <c r="M11" i="2"/>
  <c r="M14" i="2"/>
  <c r="M17" i="2"/>
  <c r="J8" i="2"/>
  <c r="L5" i="2"/>
  <c r="J5" i="2"/>
  <c r="L18" i="2"/>
  <c r="K18" i="2"/>
  <c r="J18" i="2"/>
  <c r="L17" i="2"/>
  <c r="K17" i="2"/>
  <c r="J17" i="2"/>
  <c r="L15" i="2"/>
  <c r="K15" i="2"/>
  <c r="J15" i="2"/>
  <c r="L14" i="2"/>
  <c r="K14" i="2"/>
  <c r="J14" i="2"/>
  <c r="L12" i="2"/>
  <c r="K12" i="2"/>
  <c r="J12" i="2"/>
  <c r="L11" i="2"/>
  <c r="K11" i="2"/>
  <c r="J11" i="2"/>
  <c r="L9" i="2"/>
  <c r="K9" i="2"/>
  <c r="J9" i="2"/>
  <c r="L8" i="2"/>
  <c r="K8" i="2"/>
  <c r="L6" i="2"/>
  <c r="K6" i="2"/>
  <c r="J6" i="2"/>
  <c r="M2" i="2"/>
  <c r="K3" i="2"/>
  <c r="L3" i="2"/>
  <c r="J3" i="2"/>
  <c r="K2" i="2"/>
  <c r="L2" i="2"/>
  <c r="J2" i="2"/>
  <c r="B14" i="1"/>
  <c r="C14" i="1"/>
  <c r="D14" i="1"/>
  <c r="E14" i="1"/>
  <c r="F14" i="1"/>
  <c r="G14" i="1"/>
  <c r="G25" i="1" s="1"/>
  <c r="H14" i="1"/>
  <c r="H25" i="1" s="1"/>
  <c r="E15" i="1"/>
  <c r="F15" i="1"/>
  <c r="G15" i="1"/>
  <c r="H15" i="1"/>
  <c r="C16" i="1"/>
  <c r="D16" i="1"/>
  <c r="E18" i="1"/>
  <c r="F16" i="1"/>
  <c r="G16" i="1"/>
  <c r="H16" i="1"/>
  <c r="H18" i="1" s="1"/>
  <c r="C17" i="1"/>
  <c r="D17" i="1"/>
  <c r="E17" i="1"/>
  <c r="F17" i="1"/>
  <c r="G17" i="1"/>
  <c r="G18" i="1" s="1"/>
  <c r="H17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G22" i="1" s="1"/>
  <c r="H21" i="1"/>
  <c r="B25" i="1"/>
  <c r="C25" i="1"/>
  <c r="D25" i="1"/>
  <c r="E25" i="1"/>
  <c r="F25" i="1"/>
  <c r="B64" i="1"/>
  <c r="C64" i="1"/>
  <c r="D64" i="1"/>
  <c r="E64" i="1"/>
  <c r="F64" i="1"/>
  <c r="G64" i="1"/>
  <c r="B18" i="3" l="1"/>
  <c r="F32" i="2"/>
  <c r="G32" i="2"/>
  <c r="E22" i="1"/>
  <c r="E23" i="1" s="1"/>
  <c r="D18" i="1"/>
  <c r="F18" i="1"/>
  <c r="H22" i="1"/>
  <c r="H23" i="1" s="1"/>
  <c r="H26" i="1" s="1"/>
  <c r="C22" i="1"/>
  <c r="F22" i="1"/>
  <c r="F23" i="1" s="1"/>
  <c r="D22" i="1"/>
  <c r="B19" i="3"/>
  <c r="D19" i="3" s="1"/>
  <c r="F19" i="3" s="1"/>
  <c r="G19" i="3" s="1"/>
  <c r="N5" i="2"/>
  <c r="P5" i="2" s="1"/>
  <c r="G23" i="1"/>
  <c r="D62" i="1"/>
  <c r="C62" i="1"/>
  <c r="B62" i="1"/>
  <c r="B61" i="1"/>
  <c r="B60" i="1"/>
  <c r="B56" i="1"/>
  <c r="H52" i="1"/>
  <c r="G52" i="1"/>
  <c r="F52" i="1"/>
  <c r="E52" i="1"/>
  <c r="C52" i="1"/>
  <c r="D52" i="1"/>
  <c r="H54" i="1"/>
  <c r="H55" i="1"/>
  <c r="H57" i="1"/>
  <c r="H58" i="1"/>
  <c r="H59" i="1"/>
  <c r="G54" i="1"/>
  <c r="G55" i="1"/>
  <c r="G57" i="1"/>
  <c r="G58" i="1"/>
  <c r="G59" i="1"/>
  <c r="H53" i="1"/>
  <c r="G53" i="1"/>
  <c r="F53" i="1"/>
  <c r="F54" i="1"/>
  <c r="F55" i="1"/>
  <c r="F57" i="1"/>
  <c r="F58" i="1"/>
  <c r="F59" i="1"/>
  <c r="E57" i="1"/>
  <c r="E54" i="1"/>
  <c r="E55" i="1"/>
  <c r="E58" i="1"/>
  <c r="E59" i="1"/>
  <c r="E53" i="1"/>
  <c r="B52" i="1"/>
  <c r="D53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D54" i="1"/>
  <c r="D55" i="1"/>
  <c r="D57" i="1"/>
  <c r="D58" i="1"/>
  <c r="D59" i="1"/>
  <c r="C54" i="1"/>
  <c r="C55" i="1"/>
  <c r="C57" i="1"/>
  <c r="C58" i="1"/>
  <c r="C59" i="1"/>
  <c r="C53" i="1"/>
  <c r="B54" i="1"/>
  <c r="B55" i="1"/>
  <c r="B57" i="1"/>
  <c r="B58" i="1"/>
  <c r="B59" i="1"/>
  <c r="C44" i="1"/>
  <c r="D44" i="1"/>
  <c r="E44" i="1"/>
  <c r="G44" i="1"/>
  <c r="H44" i="1"/>
  <c r="I44" i="1"/>
  <c r="J44" i="1"/>
  <c r="K44" i="1"/>
  <c r="L44" i="1"/>
  <c r="M44" i="1"/>
  <c r="O44" i="1"/>
  <c r="P44" i="1"/>
  <c r="B45" i="1"/>
  <c r="C45" i="1"/>
  <c r="D45" i="1"/>
  <c r="E45" i="1"/>
  <c r="G45" i="1"/>
  <c r="H45" i="1"/>
  <c r="I45" i="1"/>
  <c r="J45" i="1"/>
  <c r="K45" i="1"/>
  <c r="L45" i="1"/>
  <c r="M45" i="1"/>
  <c r="O45" i="1"/>
  <c r="P45" i="1"/>
  <c r="B46" i="1"/>
  <c r="C46" i="1"/>
  <c r="D46" i="1"/>
  <c r="E46" i="1"/>
  <c r="G46" i="1"/>
  <c r="H46" i="1"/>
  <c r="I46" i="1"/>
  <c r="J46" i="1"/>
  <c r="K46" i="1"/>
  <c r="L46" i="1"/>
  <c r="M46" i="1"/>
  <c r="O46" i="1"/>
  <c r="P46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B42" i="1"/>
  <c r="P7" i="1"/>
  <c r="P11" i="1"/>
  <c r="C11" i="1"/>
  <c r="D11" i="1"/>
  <c r="F11" i="1"/>
  <c r="G11" i="1"/>
  <c r="I11" i="1"/>
  <c r="L11" i="1"/>
  <c r="N11" i="1"/>
  <c r="O11" i="1"/>
  <c r="B11" i="1"/>
  <c r="C7" i="1"/>
  <c r="D7" i="1"/>
  <c r="G7" i="1"/>
  <c r="I7" i="1"/>
  <c r="L7" i="1"/>
  <c r="O7" i="1"/>
  <c r="B7" i="1"/>
  <c r="T3" i="1"/>
  <c r="T2" i="1"/>
  <c r="D23" i="1" l="1"/>
  <c r="D18" i="3"/>
  <c r="B22" i="3"/>
  <c r="B21" i="3"/>
  <c r="E60" i="1"/>
  <c r="H56" i="1"/>
  <c r="F60" i="1"/>
  <c r="E65" i="1" s="1"/>
  <c r="E66" i="1" s="1"/>
  <c r="G60" i="1"/>
  <c r="F65" i="1" s="1"/>
  <c r="F66" i="1" s="1"/>
  <c r="F26" i="1"/>
  <c r="C26" i="1"/>
  <c r="C24" i="1"/>
  <c r="D24" i="1" s="1"/>
  <c r="E24" i="1" s="1"/>
  <c r="F24" i="1" s="1"/>
  <c r="G24" i="1" s="1"/>
  <c r="H24" i="1" s="1"/>
  <c r="D26" i="1"/>
  <c r="G26" i="1"/>
  <c r="E26" i="1"/>
  <c r="C56" i="1"/>
  <c r="D56" i="1"/>
  <c r="H60" i="1"/>
  <c r="E56" i="1"/>
  <c r="C60" i="1"/>
  <c r="B65" i="1" s="1"/>
  <c r="F56" i="1"/>
  <c r="D60" i="1"/>
  <c r="G56" i="1"/>
  <c r="G61" i="1" s="1"/>
  <c r="F61" i="1"/>
  <c r="E61" i="1" l="1"/>
  <c r="F18" i="3"/>
  <c r="G18" i="3" s="1"/>
  <c r="D21" i="3"/>
  <c r="D22" i="3"/>
  <c r="Q39" i="2"/>
  <c r="Q31" i="2"/>
  <c r="P30" i="2"/>
  <c r="P32" i="2"/>
  <c r="Q32" i="2" s="1"/>
  <c r="P29" i="2"/>
  <c r="Q29" i="2" s="1"/>
  <c r="Q28" i="2"/>
  <c r="C61" i="1"/>
  <c r="B66" i="1"/>
  <c r="D61" i="1"/>
  <c r="C65" i="1"/>
  <c r="C66" i="1" s="1"/>
  <c r="D65" i="1"/>
  <c r="D66" i="1" s="1"/>
  <c r="H61" i="1"/>
  <c r="G65" i="1"/>
  <c r="G66" i="1" s="1"/>
  <c r="F21" i="3" l="1"/>
  <c r="F22" i="3"/>
  <c r="Q40" i="2"/>
  <c r="Q30" i="2"/>
  <c r="T32" i="2"/>
  <c r="Q37" i="2"/>
  <c r="T29" i="2"/>
  <c r="S29" i="2"/>
  <c r="Q42" i="2"/>
  <c r="G21" i="3" l="1"/>
  <c r="G22" i="3"/>
</calcChain>
</file>

<file path=xl/sharedStrings.xml><?xml version="1.0" encoding="utf-8"?>
<sst xmlns="http://schemas.openxmlformats.org/spreadsheetml/2006/main" count="162" uniqueCount="94">
  <si>
    <t>date</t>
  </si>
  <si>
    <t>time</t>
  </si>
  <si>
    <t>b1</t>
  </si>
  <si>
    <t>b2</t>
  </si>
  <si>
    <t>b3</t>
  </si>
  <si>
    <t>s1</t>
  </si>
  <si>
    <t>s2</t>
  </si>
  <si>
    <t>s3</t>
  </si>
  <si>
    <t>ambient pressure</t>
  </si>
  <si>
    <t>Temprature in lab</t>
  </si>
  <si>
    <t>time below</t>
  </si>
  <si>
    <t>VSS</t>
  </si>
  <si>
    <t>clean</t>
  </si>
  <si>
    <t>TSS</t>
  </si>
  <si>
    <t>g/L</t>
  </si>
  <si>
    <t>105 cor</t>
  </si>
  <si>
    <t>550 cor</t>
  </si>
  <si>
    <t>prikverlies</t>
  </si>
  <si>
    <t>sample verlies</t>
  </si>
  <si>
    <t>blank</t>
  </si>
  <si>
    <t>sample</t>
  </si>
  <si>
    <t>mbar/d</t>
  </si>
  <si>
    <t>end</t>
  </si>
  <si>
    <t>VSS test innoculum</t>
  </si>
  <si>
    <t>ml</t>
  </si>
  <si>
    <t>gas compansated for handling losses</t>
  </si>
  <si>
    <t>derivative gas values</t>
  </si>
  <si>
    <t>dt</t>
  </si>
  <si>
    <t>dP</t>
  </si>
  <si>
    <t>dt/dP</t>
  </si>
  <si>
    <t>P copy</t>
  </si>
  <si>
    <t>another derivative</t>
  </si>
  <si>
    <t>raw pressure data</t>
  </si>
  <si>
    <t>105C</t>
  </si>
  <si>
    <t>550C</t>
  </si>
  <si>
    <t>RAW data</t>
  </si>
  <si>
    <t>Cleaned up data</t>
  </si>
  <si>
    <t>clean [g]</t>
  </si>
  <si>
    <t>TSS/L</t>
  </si>
  <si>
    <t>VSS/L</t>
  </si>
  <si>
    <t>sample volume</t>
  </si>
  <si>
    <t>feed</t>
  </si>
  <si>
    <t>innoculum</t>
  </si>
  <si>
    <t>water</t>
  </si>
  <si>
    <t>t</t>
  </si>
  <si>
    <t>COD in gas [mg]</t>
  </si>
  <si>
    <t>start</t>
  </si>
  <si>
    <t>bottle</t>
  </si>
  <si>
    <t>N2 [%]</t>
  </si>
  <si>
    <t>CO2 [%]</t>
  </si>
  <si>
    <t>CH4 [%]</t>
  </si>
  <si>
    <t>H2S [%]</t>
  </si>
  <si>
    <t>O2 [%]</t>
  </si>
  <si>
    <t>FAKE DATA</t>
  </si>
  <si>
    <t>absorbance</t>
  </si>
  <si>
    <t>%</t>
  </si>
  <si>
    <t>ppm</t>
  </si>
  <si>
    <t>T</t>
  </si>
  <si>
    <t>gas volume [ml]</t>
  </si>
  <si>
    <t>growth [g/L]</t>
  </si>
  <si>
    <t>volume is too sensitive</t>
  </si>
  <si>
    <t>VSS test innoculum bottle 1</t>
  </si>
  <si>
    <t>something seems off about these values, likely something was on the scales/ not zeroed correctly, or an artifact from not dry filters</t>
  </si>
  <si>
    <t>VSS in flask at t0</t>
  </si>
  <si>
    <t>std</t>
  </si>
  <si>
    <t>avr</t>
  </si>
  <si>
    <t>tests</t>
  </si>
  <si>
    <t>average</t>
  </si>
  <si>
    <t>std deviation</t>
  </si>
  <si>
    <t>avarage [g/L]</t>
  </si>
  <si>
    <t>std [g/L]</t>
  </si>
  <si>
    <t>absolute growth [g]</t>
  </si>
  <si>
    <t>COD in feed [mg/L]</t>
  </si>
  <si>
    <t>COD in Innoculum [mg/L]</t>
  </si>
  <si>
    <t>COD after experiment [mg/L]</t>
  </si>
  <si>
    <t>g/bottle</t>
  </si>
  <si>
    <t>COD balance</t>
  </si>
  <si>
    <t>mismatch [g/L]</t>
  </si>
  <si>
    <t>g COD/ml</t>
  </si>
  <si>
    <t>theoratical maximum volume [ml]</t>
  </si>
  <si>
    <t>g COD / L</t>
  </si>
  <si>
    <t>g COD/L</t>
  </si>
  <si>
    <t>COD [ g / bottle]</t>
  </si>
  <si>
    <t>COD [g/ bottle]</t>
  </si>
  <si>
    <t>consumed [g COD/ bottle]</t>
  </si>
  <si>
    <t>COD mismach [g / bottle]</t>
  </si>
  <si>
    <t xml:space="preserve">TSS </t>
  </si>
  <si>
    <t xml:space="preserve">VSS </t>
  </si>
  <si>
    <t>maximum growth rate over the entire period</t>
  </si>
  <si>
    <t>g COD</t>
  </si>
  <si>
    <t>max mL</t>
  </si>
  <si>
    <t>% of mu max</t>
  </si>
  <si>
    <t>avarage [mg/L]</t>
  </si>
  <si>
    <t>std 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</si>
</sst>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F400]h:mm:ss\ AM/PM"/>
    <numFmt numFmtId="166" formatCode="0.0000"/>
    <numFmt numFmtId="167" formatCode="0.00000"/>
  </numFmts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1" applyNumberFormat="0" applyFill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6" fillId="6" borderId="2" applyNumberFormat="0" applyAlignment="0" applyProtection="0"/>
  </cellStyleXfs>
  <cellXfs count="22">
    <xf numFmtId="0" fontId="0" fillId="0" borderId="0" xfId="0"/>
    <xf numFmtId="3" fontId="0" fillId="0" borderId="0" xfId="0" applyNumberFormat="1"/>
    <xf numFmtId="0" fontId="1" fillId="2" borderId="0" xfId="1"/>
    <xf numFmtId="164" fontId="1" fillId="2" borderId="0" xfId="1" applyNumberFormat="1"/>
    <xf numFmtId="164" fontId="0" fillId="0" borderId="0" xfId="0" applyNumberFormat="1"/>
    <xf numFmtId="165" fontId="0" fillId="0" borderId="0" xfId="0" applyNumberFormat="1"/>
    <xf numFmtId="20" fontId="0" fillId="0" borderId="0" xfId="0" applyNumberFormat="1"/>
    <xf numFmtId="22" fontId="0" fillId="0" borderId="0" xfId="0" applyNumberFormat="1"/>
    <xf numFmtId="165" fontId="1" fillId="2" borderId="0" xfId="1" applyNumberFormat="1"/>
    <xf numFmtId="2" fontId="0" fillId="0" borderId="0" xfId="0" applyNumberFormat="1"/>
    <xf numFmtId="2" fontId="1" fillId="2" borderId="0" xfId="1" applyNumberFormat="1"/>
    <xf numFmtId="2" fontId="2" fillId="3" borderId="0" xfId="2" applyNumberFormat="1"/>
    <xf numFmtId="0" fontId="2" fillId="3" borderId="0" xfId="2"/>
    <xf numFmtId="165" fontId="2" fillId="3" borderId="0" xfId="2" applyNumberFormat="1"/>
    <xf numFmtId="20" fontId="2" fillId="3" borderId="0" xfId="2" applyNumberFormat="1"/>
    <xf numFmtId="22" fontId="2" fillId="3" borderId="0" xfId="2" applyNumberFormat="1"/>
    <xf numFmtId="0" fontId="4" fillId="4" borderId="0" xfId="4"/>
    <xf numFmtId="0" fontId="5" fillId="5" borderId="2" xfId="5"/>
    <xf numFmtId="0" fontId="6" fillId="6" borderId="2" xfId="6"/>
    <xf numFmtId="0" fontId="3" fillId="0" borderId="1" xfId="3"/>
    <xf numFmtId="166" fontId="0" fillId="0" borderId="0" xfId="0" applyNumberFormat="1"/>
    <xf numFmtId="167" fontId="0" fillId="0" borderId="0" xfId="0" applyNumberFormat="1"/>
  </cellXfs>
  <cellStyles count="7">
    <cellStyle name="Berekening" xfId="6" builtinId="22"/>
    <cellStyle name="Goed" xfId="2" builtinId="26"/>
    <cellStyle name="Invoer" xfId="5" builtinId="20"/>
    <cellStyle name="Kop 1" xfId="3" builtinId="16"/>
    <cellStyle name="Neutraal" xfId="1" builtinId="28"/>
    <cellStyle name="Ongeldig" xfId="4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production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P!$C$14:$H$14</c:f>
              <c:numCache>
                <c:formatCode>[$-F400]h:mm:ss\ AM/PM</c:formatCode>
                <c:ptCount val="6"/>
                <c:pt idx="0" formatCode="h:mm">
                  <c:v>0.64652777777777781</c:v>
                </c:pt>
                <c:pt idx="1">
                  <c:v>1.3618055555555555</c:v>
                </c:pt>
                <c:pt idx="2" formatCode="m/d/yyyy\ h:mm">
                  <c:v>2.4090277777777778</c:v>
                </c:pt>
                <c:pt idx="3" formatCode="m/d/yyyy\ h:mm">
                  <c:v>2.6925925925925926</c:v>
                </c:pt>
                <c:pt idx="4" formatCode="m/d/yyyy\ h:mm">
                  <c:v>5.3812499999999996</c:v>
                </c:pt>
                <c:pt idx="5" formatCode="m/d/yyyy\ h:mm">
                  <c:v>5.7298611111111111</c:v>
                </c:pt>
              </c:numCache>
            </c:numRef>
          </c:xVal>
          <c:yVal>
            <c:numRef>
              <c:f>P!$C$23:$H$23</c:f>
              <c:numCache>
                <c:formatCode>0.0</c:formatCode>
                <c:ptCount val="6"/>
                <c:pt idx="0">
                  <c:v>2.6666666666666665</c:v>
                </c:pt>
                <c:pt idx="1">
                  <c:v>-12.666666666666668</c:v>
                </c:pt>
                <c:pt idx="2">
                  <c:v>31.333333333333332</c:v>
                </c:pt>
                <c:pt idx="3">
                  <c:v>2.333333333333333</c:v>
                </c:pt>
                <c:pt idx="4">
                  <c:v>5</c:v>
                </c:pt>
                <c:pt idx="5">
                  <c:v>-5.333333333333333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C3A-4A47-AD61-1B5EA3E3A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76400"/>
        <c:axId val="322178040"/>
      </c:scatterChart>
      <c:valAx>
        <c:axId val="3221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78040"/>
        <c:crosses val="autoZero"/>
        <c:crossBetween val="midCat"/>
      </c:valAx>
      <c:valAx>
        <c:axId val="32217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7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Substrate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P!$B$52:$H$52</c:f>
              <c:numCache>
                <c:formatCode>0.00</c:formatCode>
                <c:ptCount val="7"/>
                <c:pt idx="0">
                  <c:v>0.50694444444444442</c:v>
                </c:pt>
                <c:pt idx="1">
                  <c:v>0.64652777777777781</c:v>
                </c:pt>
                <c:pt idx="2">
                  <c:v>1.3618055555555555</c:v>
                </c:pt>
                <c:pt idx="3">
                  <c:v>2.4090277777777778</c:v>
                </c:pt>
                <c:pt idx="4">
                  <c:v>2.6423611111111112</c:v>
                </c:pt>
                <c:pt idx="5">
                  <c:v>5.3812499999999996</c:v>
                </c:pt>
                <c:pt idx="6">
                  <c:v>5.7298611111111111</c:v>
                </c:pt>
              </c:numCache>
            </c:numRef>
          </c:xVal>
          <c:yVal>
            <c:numRef>
              <c:f>P!$B$60:$H$60</c:f>
              <c:numCache>
                <c:formatCode>0.00</c:formatCode>
                <c:ptCount val="7"/>
                <c:pt idx="0">
                  <c:v>1150</c:v>
                </c:pt>
                <c:pt idx="1">
                  <c:v>1153.6666666666667</c:v>
                </c:pt>
                <c:pt idx="2">
                  <c:v>1144.3333333333333</c:v>
                </c:pt>
                <c:pt idx="3">
                  <c:v>1116.6666666666667</c:v>
                </c:pt>
                <c:pt idx="4">
                  <c:v>1117.6666666666667</c:v>
                </c:pt>
                <c:pt idx="5">
                  <c:v>1144.6666666666667</c:v>
                </c:pt>
                <c:pt idx="6">
                  <c:v>1146.3333333333333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8-4B1D-B6F0-8157E9A3BA90}"/>
            </c:ext>
          </c:extLst>
        </c:ser>
        <c:ser>
          <c:idx val="1"/>
          <c:order val="1"/>
          <c:tx>
            <c:v>Blank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P!$B$52:$H$52</c:f>
              <c:numCache>
                <c:formatCode>0.00</c:formatCode>
                <c:ptCount val="7"/>
                <c:pt idx="0">
                  <c:v>0.50694444444444442</c:v>
                </c:pt>
                <c:pt idx="1">
                  <c:v>0.64652777777777781</c:v>
                </c:pt>
                <c:pt idx="2">
                  <c:v>1.3618055555555555</c:v>
                </c:pt>
                <c:pt idx="3">
                  <c:v>2.4090277777777778</c:v>
                </c:pt>
                <c:pt idx="4">
                  <c:v>2.6423611111111112</c:v>
                </c:pt>
                <c:pt idx="5">
                  <c:v>5.3812499999999996</c:v>
                </c:pt>
                <c:pt idx="6">
                  <c:v>5.7298611111111111</c:v>
                </c:pt>
              </c:numCache>
            </c:numRef>
          </c:xVal>
          <c:yVal>
            <c:numRef>
              <c:f>P!$B$56:$H$56</c:f>
              <c:numCache>
                <c:formatCode>0.00</c:formatCode>
                <c:ptCount val="7"/>
                <c:pt idx="0">
                  <c:v>1153.6666666666667</c:v>
                </c:pt>
                <c:pt idx="1">
                  <c:v>1154.6666666666667</c:v>
                </c:pt>
                <c:pt idx="2">
                  <c:v>1158</c:v>
                </c:pt>
                <c:pt idx="3">
                  <c:v>1099</c:v>
                </c:pt>
                <c:pt idx="4">
                  <c:v>1097.6666666666667</c:v>
                </c:pt>
                <c:pt idx="5">
                  <c:v>1119</c:v>
                </c:pt>
                <c:pt idx="6">
                  <c:v>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8-4B1D-B6F0-8157E9A3BA90}"/>
            </c:ext>
          </c:extLst>
        </c:ser>
        <c:ser>
          <c:idx val="2"/>
          <c:order val="2"/>
          <c:tx>
            <c:v>ambient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P!$B$52:$H$52</c:f>
              <c:numCache>
                <c:formatCode>0.00</c:formatCode>
                <c:ptCount val="7"/>
                <c:pt idx="0">
                  <c:v>0.50694444444444442</c:v>
                </c:pt>
                <c:pt idx="1">
                  <c:v>0.64652777777777781</c:v>
                </c:pt>
                <c:pt idx="2">
                  <c:v>1.3618055555555555</c:v>
                </c:pt>
                <c:pt idx="3">
                  <c:v>2.4090277777777778</c:v>
                </c:pt>
                <c:pt idx="4">
                  <c:v>2.6423611111111112</c:v>
                </c:pt>
                <c:pt idx="5">
                  <c:v>5.3812499999999996</c:v>
                </c:pt>
                <c:pt idx="6">
                  <c:v>5.7298611111111111</c:v>
                </c:pt>
              </c:numCache>
            </c:numRef>
          </c:xVal>
          <c:yVal>
            <c:numRef>
              <c:f>P!$B$62:$H$62</c:f>
              <c:numCache>
                <c:formatCode>0.00</c:formatCode>
                <c:ptCount val="7"/>
                <c:pt idx="0">
                  <c:v>1004</c:v>
                </c:pt>
                <c:pt idx="1">
                  <c:v>1004</c:v>
                </c:pt>
                <c:pt idx="2">
                  <c:v>1011</c:v>
                </c:pt>
                <c:pt idx="3" formatCode="General">
                  <c:v>1019</c:v>
                </c:pt>
                <c:pt idx="4" formatCode="General">
                  <c:v>1019</c:v>
                </c:pt>
                <c:pt idx="5" formatCode="General">
                  <c:v>1021</c:v>
                </c:pt>
                <c:pt idx="6" formatCode="General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8-4B1D-B6F0-8157E9A3B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943464"/>
        <c:axId val="326945104"/>
      </c:scatterChart>
      <c:valAx>
        <c:axId val="32694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45104"/>
        <c:crosses val="autoZero"/>
        <c:crossBetween val="midCat"/>
      </c:valAx>
      <c:valAx>
        <c:axId val="3269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43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1000125</xdr:colOff>
      <xdr:row>22</xdr:row>
      <xdr:rowOff>85725</xdr:rowOff>
    </xdr:from>
    <xdr:to>
      <xdr:col>21</xdr:col>
      <xdr:colOff>342900</xdr:colOff>
      <xdr:row>36</xdr:row>
      <xdr:rowOff>161925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103CB4C-F23F-B4F9-D52A-0F0ABB970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51</xdr:row>
      <xdr:rowOff>66675</xdr:rowOff>
    </xdr:from>
    <xdr:to>
      <xdr:col>16</xdr:col>
      <xdr:colOff>352425</xdr:colOff>
      <xdr:row>65</xdr:row>
      <xdr:rowOff>142875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D4C1C63-0305-8FE4-1541-F3DB90C21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workbookViewId="0">
      <selection activeCell="J18" sqref="J18"/>
    </sheetView>
  </sheetViews>
  <sheetFormatPr defaultRowHeight="15" x14ac:dyDescent="0.25"/>
  <cols>
    <col min="2" max="2" width="16.7109375" bestFit="1" customWidth="1"/>
    <col min="3" max="3" width="9.28515625" bestFit="1" customWidth="1"/>
    <col min="4" max="4" width="18" customWidth="1"/>
    <col min="5" max="6" width="16.7109375" bestFit="1" customWidth="1"/>
    <col min="7" max="8" width="16" bestFit="1" customWidth="1"/>
    <col min="9" max="12" width="9.28515625" bestFit="1" customWidth="1"/>
    <col min="13" max="14" width="16.7109375" bestFit="1" customWidth="1"/>
    <col min="15" max="15" width="16" bestFit="1" customWidth="1"/>
    <col min="16" max="16" width="15.85546875" bestFit="1" customWidth="1"/>
  </cols>
  <sheetData>
    <row r="1" spans="1:20" x14ac:dyDescent="0.25">
      <c r="A1" s="12" t="s">
        <v>32</v>
      </c>
      <c r="B1" s="12">
        <v>8</v>
      </c>
      <c r="C1" s="12">
        <v>8</v>
      </c>
      <c r="D1" s="12">
        <v>9</v>
      </c>
      <c r="E1" s="12"/>
      <c r="F1" s="12"/>
      <c r="G1" s="12">
        <v>10</v>
      </c>
      <c r="H1" s="12">
        <v>10</v>
      </c>
      <c r="I1" s="12"/>
      <c r="J1" s="12"/>
      <c r="K1" s="12"/>
      <c r="L1" s="12"/>
      <c r="M1" s="12"/>
      <c r="N1" s="12"/>
      <c r="O1" s="12">
        <v>13</v>
      </c>
      <c r="P1" s="12"/>
      <c r="Q1" s="12" t="s">
        <v>0</v>
      </c>
    </row>
    <row r="2" spans="1:20" x14ac:dyDescent="0.25">
      <c r="A2" t="s">
        <v>1</v>
      </c>
      <c r="B2" s="5">
        <v>0.50694444444444442</v>
      </c>
      <c r="C2" s="5">
        <v>0.64652777777777781</v>
      </c>
      <c r="D2" s="5">
        <v>1.3618055555555555</v>
      </c>
      <c r="G2" s="7">
        <v>2.4090277777777778</v>
      </c>
      <c r="H2" t="s">
        <v>10</v>
      </c>
      <c r="O2" s="7">
        <v>5.3812499999999996</v>
      </c>
      <c r="P2" s="7">
        <v>5.7298611111111111</v>
      </c>
      <c r="Q2" t="s">
        <v>17</v>
      </c>
      <c r="R2">
        <v>5</v>
      </c>
      <c r="T2">
        <f>5*R2</f>
        <v>25</v>
      </c>
    </row>
    <row r="3" spans="1:20" x14ac:dyDescent="0.25">
      <c r="Q3" t="s">
        <v>18</v>
      </c>
      <c r="R3">
        <v>13</v>
      </c>
      <c r="T3">
        <f>2*R3</f>
        <v>26</v>
      </c>
    </row>
    <row r="4" spans="1:20" x14ac:dyDescent="0.25">
      <c r="A4" t="s">
        <v>2</v>
      </c>
      <c r="B4">
        <v>1142</v>
      </c>
      <c r="C4">
        <v>1141</v>
      </c>
      <c r="D4">
        <v>1136</v>
      </c>
      <c r="F4">
        <v>1136</v>
      </c>
      <c r="G4">
        <v>1133</v>
      </c>
      <c r="H4" s="7">
        <v>2.6423611111111112</v>
      </c>
      <c r="I4">
        <v>1126</v>
      </c>
      <c r="J4">
        <v>1124</v>
      </c>
      <c r="K4">
        <v>1099</v>
      </c>
      <c r="L4">
        <v>1099</v>
      </c>
      <c r="N4">
        <v>1099</v>
      </c>
      <c r="O4">
        <v>1099</v>
      </c>
      <c r="P4">
        <v>1095</v>
      </c>
    </row>
    <row r="5" spans="1:20" x14ac:dyDescent="0.25">
      <c r="A5" t="s">
        <v>3</v>
      </c>
      <c r="B5">
        <v>1160</v>
      </c>
      <c r="C5">
        <v>1154</v>
      </c>
      <c r="D5">
        <v>1164</v>
      </c>
      <c r="F5">
        <v>1164</v>
      </c>
      <c r="G5">
        <v>1025</v>
      </c>
      <c r="H5" s="7">
        <v>2.6631944444444446</v>
      </c>
      <c r="I5">
        <v>1023</v>
      </c>
      <c r="J5">
        <v>1023</v>
      </c>
      <c r="K5">
        <v>1016</v>
      </c>
      <c r="L5">
        <v>1016</v>
      </c>
      <c r="N5">
        <v>1016</v>
      </c>
      <c r="O5">
        <v>1023</v>
      </c>
      <c r="P5">
        <v>1029</v>
      </c>
      <c r="T5" s="6">
        <v>0.66319444444444442</v>
      </c>
    </row>
    <row r="6" spans="1:20" x14ac:dyDescent="0.25">
      <c r="A6" t="s">
        <v>4</v>
      </c>
      <c r="B6">
        <v>1159</v>
      </c>
      <c r="C6">
        <v>1154</v>
      </c>
      <c r="D6">
        <v>1144</v>
      </c>
      <c r="F6">
        <v>1144</v>
      </c>
      <c r="G6">
        <v>1094</v>
      </c>
      <c r="H6" s="7">
        <v>2.6819444444444445</v>
      </c>
      <c r="I6">
        <v>1084</v>
      </c>
      <c r="J6">
        <v>1080</v>
      </c>
      <c r="K6">
        <v>1074</v>
      </c>
      <c r="L6">
        <v>1069</v>
      </c>
      <c r="N6">
        <v>1069</v>
      </c>
      <c r="O6">
        <v>1029</v>
      </c>
      <c r="P6">
        <v>1027</v>
      </c>
      <c r="T6" s="6">
        <v>0.68194444444444446</v>
      </c>
    </row>
    <row r="7" spans="1:20" x14ac:dyDescent="0.25">
      <c r="B7" s="2">
        <f>AVERAGE(B4:B6)</f>
        <v>1153.6666666666667</v>
      </c>
      <c r="C7" s="2">
        <f t="shared" ref="C7:P7" si="0">AVERAGE(C4:C6)</f>
        <v>1149.6666666666667</v>
      </c>
      <c r="D7" s="2">
        <f t="shared" si="0"/>
        <v>1148</v>
      </c>
      <c r="E7" s="2"/>
      <c r="F7" s="2"/>
      <c r="G7" s="2">
        <f t="shared" si="0"/>
        <v>1084</v>
      </c>
      <c r="H7" s="2"/>
      <c r="I7" s="2">
        <f t="shared" si="0"/>
        <v>1077.6666666666667</v>
      </c>
      <c r="J7" s="2"/>
      <c r="K7" s="2"/>
      <c r="L7" s="2">
        <f t="shared" si="0"/>
        <v>1061.3333333333333</v>
      </c>
      <c r="M7" s="2"/>
      <c r="N7" s="2"/>
      <c r="O7" s="2">
        <f t="shared" si="0"/>
        <v>1050.3333333333333</v>
      </c>
      <c r="P7" s="2">
        <f t="shared" si="0"/>
        <v>1050.3333333333333</v>
      </c>
    </row>
    <row r="8" spans="1:20" x14ac:dyDescent="0.25">
      <c r="A8" t="s">
        <v>5</v>
      </c>
      <c r="B8">
        <v>1126</v>
      </c>
      <c r="C8">
        <v>1127</v>
      </c>
      <c r="D8">
        <v>1121</v>
      </c>
      <c r="E8">
        <v>1117</v>
      </c>
      <c r="F8">
        <v>1111</v>
      </c>
      <c r="G8">
        <v>1107</v>
      </c>
      <c r="H8" s="7">
        <v>2.7180555555555554</v>
      </c>
      <c r="I8">
        <v>1103</v>
      </c>
      <c r="J8">
        <v>1099</v>
      </c>
      <c r="K8">
        <v>1087</v>
      </c>
      <c r="L8">
        <v>1084</v>
      </c>
      <c r="N8">
        <v>1084</v>
      </c>
      <c r="O8">
        <v>1067</v>
      </c>
      <c r="P8">
        <v>1061</v>
      </c>
      <c r="T8" s="6">
        <v>0.71805555555555556</v>
      </c>
    </row>
    <row r="9" spans="1:20" x14ac:dyDescent="0.25">
      <c r="A9" t="s">
        <v>6</v>
      </c>
      <c r="B9">
        <v>1168</v>
      </c>
      <c r="C9">
        <v>1165</v>
      </c>
      <c r="D9" s="1">
        <v>1163</v>
      </c>
      <c r="E9">
        <v>1160</v>
      </c>
      <c r="F9">
        <v>1160</v>
      </c>
      <c r="G9">
        <v>1137</v>
      </c>
      <c r="H9" s="7">
        <v>2.7006944444444443</v>
      </c>
      <c r="I9">
        <v>1132</v>
      </c>
      <c r="J9">
        <v>1128</v>
      </c>
      <c r="K9">
        <v>1119</v>
      </c>
      <c r="L9">
        <v>1114</v>
      </c>
      <c r="M9">
        <v>1104</v>
      </c>
      <c r="N9">
        <v>1101</v>
      </c>
      <c r="O9">
        <v>1100</v>
      </c>
      <c r="P9">
        <v>1093</v>
      </c>
      <c r="T9" s="6">
        <v>0.7006944444444444</v>
      </c>
    </row>
    <row r="10" spans="1:20" x14ac:dyDescent="0.25">
      <c r="A10" t="s">
        <v>7</v>
      </c>
      <c r="B10">
        <v>1156</v>
      </c>
      <c r="C10">
        <v>1154</v>
      </c>
      <c r="D10">
        <v>1119</v>
      </c>
      <c r="F10">
        <v>1119</v>
      </c>
      <c r="G10">
        <v>1048</v>
      </c>
      <c r="H10" s="7">
        <v>2.7493055555555554</v>
      </c>
      <c r="I10">
        <v>1045</v>
      </c>
      <c r="J10">
        <v>1043</v>
      </c>
      <c r="K10">
        <v>1029</v>
      </c>
      <c r="L10">
        <v>1029</v>
      </c>
      <c r="N10">
        <v>1029</v>
      </c>
      <c r="O10">
        <v>1029</v>
      </c>
      <c r="P10">
        <v>1026</v>
      </c>
      <c r="T10" s="6">
        <v>0.74930555555555556</v>
      </c>
    </row>
    <row r="11" spans="1:20" x14ac:dyDescent="0.25">
      <c r="B11" s="2">
        <f>AVERAGE(B8:B10)</f>
        <v>1150</v>
      </c>
      <c r="C11" s="2">
        <f t="shared" ref="C11:P11" si="1">AVERAGE(C8:C10)</f>
        <v>1148.6666666666667</v>
      </c>
      <c r="D11" s="2">
        <f t="shared" si="1"/>
        <v>1134.3333333333333</v>
      </c>
      <c r="E11" s="2"/>
      <c r="F11" s="2">
        <f t="shared" si="1"/>
        <v>1130</v>
      </c>
      <c r="G11" s="2">
        <f t="shared" si="1"/>
        <v>1097.3333333333333</v>
      </c>
      <c r="H11" s="2"/>
      <c r="I11" s="2">
        <f t="shared" si="1"/>
        <v>1093.3333333333333</v>
      </c>
      <c r="J11" s="2"/>
      <c r="K11" s="2"/>
      <c r="L11" s="2">
        <f t="shared" si="1"/>
        <v>1075.6666666666667</v>
      </c>
      <c r="M11" s="2"/>
      <c r="N11" s="2">
        <f t="shared" si="1"/>
        <v>1071.3333333333333</v>
      </c>
      <c r="O11" s="2">
        <f t="shared" si="1"/>
        <v>1065.3333333333333</v>
      </c>
      <c r="P11" s="2">
        <f t="shared" si="1"/>
        <v>1060</v>
      </c>
    </row>
    <row r="12" spans="1:20" x14ac:dyDescent="0.25">
      <c r="A12" t="s">
        <v>8</v>
      </c>
      <c r="B12">
        <v>1004</v>
      </c>
      <c r="C12">
        <v>1004</v>
      </c>
      <c r="D12">
        <v>1011</v>
      </c>
      <c r="G12">
        <v>1019</v>
      </c>
      <c r="H12">
        <v>1019</v>
      </c>
      <c r="O12">
        <v>1021</v>
      </c>
      <c r="P12">
        <v>1023</v>
      </c>
    </row>
    <row r="13" spans="1:20" x14ac:dyDescent="0.25">
      <c r="A13" t="s">
        <v>9</v>
      </c>
      <c r="B13">
        <v>21</v>
      </c>
      <c r="C13">
        <v>21</v>
      </c>
      <c r="D13">
        <v>21</v>
      </c>
      <c r="G13">
        <v>21.3</v>
      </c>
      <c r="H13">
        <v>21.1</v>
      </c>
      <c r="O13">
        <v>21.4</v>
      </c>
      <c r="P13">
        <v>21.3</v>
      </c>
    </row>
    <row r="14" spans="1:20" x14ac:dyDescent="0.25">
      <c r="A14" s="12" t="s">
        <v>31</v>
      </c>
      <c r="B14" s="13">
        <f>B2</f>
        <v>0.50694444444444442</v>
      </c>
      <c r="C14" s="14">
        <f>C2</f>
        <v>0.64652777777777781</v>
      </c>
      <c r="D14" s="13">
        <f>D2</f>
        <v>1.3618055555555555</v>
      </c>
      <c r="E14" s="15">
        <f>G2</f>
        <v>2.4090277777777778</v>
      </c>
      <c r="F14" s="15">
        <f>AVERAGE(H4:H10)</f>
        <v>2.6925925925925926</v>
      </c>
      <c r="G14" s="15">
        <f>O2</f>
        <v>5.3812499999999996</v>
      </c>
      <c r="H14" s="15">
        <f>P2</f>
        <v>5.7298611111111111</v>
      </c>
    </row>
    <row r="15" spans="1:20" x14ac:dyDescent="0.25">
      <c r="A15" t="s">
        <v>19</v>
      </c>
      <c r="C15">
        <f>C4-B4 + R$2</f>
        <v>4</v>
      </c>
      <c r="D15">
        <f>D4-C4 +R$2</f>
        <v>0</v>
      </c>
      <c r="E15">
        <f>G4-F4+R$2</f>
        <v>2</v>
      </c>
      <c r="F15">
        <f>I4-G4+R$2</f>
        <v>-2</v>
      </c>
      <c r="G15">
        <f>O4-N4+R$3</f>
        <v>13</v>
      </c>
      <c r="H15">
        <f>P4-O4+R$2</f>
        <v>1</v>
      </c>
    </row>
    <row r="16" spans="1:20" x14ac:dyDescent="0.25">
      <c r="C16">
        <f t="shared" ref="C16:C17" si="2">C5-B5 + R$2</f>
        <v>-1</v>
      </c>
      <c r="D16">
        <f t="shared" ref="D16:D17" si="3">D5-C5 +R$2</f>
        <v>15</v>
      </c>
      <c r="E16">
        <f>G5-F5+R$2</f>
        <v>-134</v>
      </c>
      <c r="F16">
        <f t="shared" ref="F16:F17" si="4">I5-G5+R$2</f>
        <v>3</v>
      </c>
      <c r="G16">
        <f t="shared" ref="G16:G17" si="5">O5-N5+R$3</f>
        <v>20</v>
      </c>
      <c r="H16">
        <f t="shared" ref="H16:H17" si="6">P5-O5+R$2</f>
        <v>11</v>
      </c>
    </row>
    <row r="17" spans="1:8" x14ac:dyDescent="0.25">
      <c r="C17">
        <f t="shared" si="2"/>
        <v>0</v>
      </c>
      <c r="D17">
        <f t="shared" si="3"/>
        <v>-5</v>
      </c>
      <c r="E17">
        <f t="shared" ref="E17" si="7">G6-F6+R$2</f>
        <v>-45</v>
      </c>
      <c r="F17">
        <f t="shared" si="4"/>
        <v>-5</v>
      </c>
      <c r="G17">
        <f t="shared" si="5"/>
        <v>-27</v>
      </c>
      <c r="H17">
        <f t="shared" si="6"/>
        <v>3</v>
      </c>
    </row>
    <row r="18" spans="1:8" x14ac:dyDescent="0.25">
      <c r="B18" s="2"/>
      <c r="C18" s="3">
        <f>AVERAGE(C15:C17)</f>
        <v>1</v>
      </c>
      <c r="D18" s="3">
        <f t="shared" ref="D18:H18" si="8">AVERAGE(D15:D17)</f>
        <v>3.3333333333333335</v>
      </c>
      <c r="E18" s="3">
        <f t="shared" si="8"/>
        <v>-59</v>
      </c>
      <c r="F18" s="3">
        <f t="shared" si="8"/>
        <v>-1.3333333333333333</v>
      </c>
      <c r="G18" s="3">
        <f t="shared" si="8"/>
        <v>2</v>
      </c>
      <c r="H18" s="3">
        <f t="shared" si="8"/>
        <v>5</v>
      </c>
    </row>
    <row r="19" spans="1:8" x14ac:dyDescent="0.25">
      <c r="A19" t="s">
        <v>20</v>
      </c>
      <c r="C19">
        <f>C8-B8 + R$2</f>
        <v>6</v>
      </c>
      <c r="D19">
        <f>D8-C8 + R$2</f>
        <v>-1</v>
      </c>
      <c r="E19">
        <f>G8-F8+$R$2</f>
        <v>1</v>
      </c>
      <c r="F19">
        <f>I8-G8+R$2</f>
        <v>1</v>
      </c>
      <c r="G19">
        <f>O8-N8+R$3</f>
        <v>-4</v>
      </c>
      <c r="H19">
        <f>P8-O8+R$2</f>
        <v>-1</v>
      </c>
    </row>
    <row r="20" spans="1:8" x14ac:dyDescent="0.25">
      <c r="C20">
        <f t="shared" ref="C20" si="9">C9-B9 + R$2</f>
        <v>2</v>
      </c>
      <c r="D20" s="1">
        <f>D9-C9 + R$2</f>
        <v>3</v>
      </c>
      <c r="E20">
        <f t="shared" ref="E20" si="10">G9-F9+$R$2</f>
        <v>-18</v>
      </c>
      <c r="F20">
        <f t="shared" ref="F20" si="11">I9-G9+R$2</f>
        <v>0</v>
      </c>
      <c r="G20">
        <f t="shared" ref="G20:G21" si="12">O9-N9+R$3</f>
        <v>12</v>
      </c>
      <c r="H20">
        <f t="shared" ref="H20:H21" si="13">P9-O9+R$2</f>
        <v>-2</v>
      </c>
    </row>
    <row r="21" spans="1:8" x14ac:dyDescent="0.25">
      <c r="C21">
        <f t="shared" ref="C21" si="14">C10-B10 + R$2</f>
        <v>3</v>
      </c>
      <c r="D21">
        <f>D10-C10 + R$2</f>
        <v>-30</v>
      </c>
      <c r="E21">
        <f>G10-F10+$R$2</f>
        <v>-66</v>
      </c>
      <c r="F21">
        <f>I10-G10+R$2</f>
        <v>2</v>
      </c>
      <c r="G21">
        <f t="shared" si="12"/>
        <v>13</v>
      </c>
      <c r="H21">
        <f t="shared" si="13"/>
        <v>2</v>
      </c>
    </row>
    <row r="22" spans="1:8" x14ac:dyDescent="0.25">
      <c r="B22" s="2"/>
      <c r="C22" s="3">
        <f>AVERAGE(C19:C21)</f>
        <v>3.6666666666666665</v>
      </c>
      <c r="D22" s="3">
        <f t="shared" ref="D22:G22" si="15">AVERAGE(D19:D21)</f>
        <v>-9.3333333333333339</v>
      </c>
      <c r="E22" s="3">
        <f t="shared" si="15"/>
        <v>-27.666666666666668</v>
      </c>
      <c r="F22" s="3">
        <f t="shared" si="15"/>
        <v>1</v>
      </c>
      <c r="G22" s="3">
        <f t="shared" si="15"/>
        <v>7</v>
      </c>
      <c r="H22" s="3">
        <f t="shared" ref="H22" si="16">AVERAGE(H19:H21)</f>
        <v>-0.33333333333333331</v>
      </c>
    </row>
    <row r="23" spans="1:8" x14ac:dyDescent="0.25">
      <c r="B23" s="2">
        <v>0</v>
      </c>
      <c r="C23" s="3">
        <f>C22-C18</f>
        <v>2.6666666666666665</v>
      </c>
      <c r="D23" s="3">
        <f t="shared" ref="D23:G23" si="17">D22-D18</f>
        <v>-12.666666666666668</v>
      </c>
      <c r="E23" s="3">
        <f t="shared" si="17"/>
        <v>31.333333333333332</v>
      </c>
      <c r="F23" s="3">
        <f t="shared" si="17"/>
        <v>2.333333333333333</v>
      </c>
      <c r="G23" s="3">
        <f t="shared" si="17"/>
        <v>5</v>
      </c>
      <c r="H23" s="3">
        <f>H22-H18</f>
        <v>-5.333333333333333</v>
      </c>
    </row>
    <row r="24" spans="1:8" x14ac:dyDescent="0.25">
      <c r="B24">
        <v>1000</v>
      </c>
      <c r="C24" s="4">
        <f>C23+B24</f>
        <v>1002.6666666666666</v>
      </c>
      <c r="D24" s="4">
        <f t="shared" ref="D24:H24" si="18">D23+C24</f>
        <v>990</v>
      </c>
      <c r="E24" s="4">
        <f t="shared" si="18"/>
        <v>1021.3333333333334</v>
      </c>
      <c r="F24" s="4">
        <f t="shared" si="18"/>
        <v>1023.6666666666667</v>
      </c>
      <c r="G24" s="4">
        <f t="shared" si="18"/>
        <v>1028.6666666666667</v>
      </c>
      <c r="H24" s="4">
        <f t="shared" si="18"/>
        <v>1023.3333333333334</v>
      </c>
    </row>
    <row r="25" spans="1:8" x14ac:dyDescent="0.25">
      <c r="B25" s="9">
        <f>0</f>
        <v>0</v>
      </c>
      <c r="C25" s="9">
        <f>C14-B14</f>
        <v>0.13958333333333339</v>
      </c>
      <c r="D25" s="9">
        <f>D14-C14</f>
        <v>0.71527777777777768</v>
      </c>
      <c r="E25" s="9">
        <f t="shared" ref="E25:H25" si="19">E14-D14</f>
        <v>1.0472222222222223</v>
      </c>
      <c r="F25" s="9">
        <f t="shared" si="19"/>
        <v>0.28356481481481488</v>
      </c>
      <c r="G25" s="9">
        <f t="shared" si="19"/>
        <v>2.688657407407407</v>
      </c>
      <c r="H25" s="9">
        <f t="shared" si="19"/>
        <v>0.34861111111111143</v>
      </c>
    </row>
    <row r="26" spans="1:8" x14ac:dyDescent="0.25">
      <c r="A26" t="s">
        <v>21</v>
      </c>
      <c r="C26" s="9">
        <f>C23/C25</f>
        <v>19.10447761194029</v>
      </c>
      <c r="D26" s="9">
        <f t="shared" ref="D26:H26" si="20">D23/D25</f>
        <v>-17.708737864077673</v>
      </c>
      <c r="E26" s="9">
        <f t="shared" si="20"/>
        <v>29.92042440318302</v>
      </c>
      <c r="F26" s="9">
        <f t="shared" si="20"/>
        <v>8.228571428571426</v>
      </c>
      <c r="G26" s="9">
        <f t="shared" si="20"/>
        <v>1.8596642272922947</v>
      </c>
      <c r="H26" s="9">
        <f t="shared" si="20"/>
        <v>-15.298804780876479</v>
      </c>
    </row>
    <row r="42" spans="1:20" x14ac:dyDescent="0.25">
      <c r="A42" s="12" t="s">
        <v>30</v>
      </c>
      <c r="B42" s="13">
        <f>B2</f>
        <v>0.50694444444444442</v>
      </c>
      <c r="C42" s="13">
        <f t="shared" ref="C42:P42" si="21">C2</f>
        <v>0.64652777777777781</v>
      </c>
      <c r="D42" s="13">
        <f t="shared" si="21"/>
        <v>1.3618055555555555</v>
      </c>
      <c r="E42" s="13">
        <f t="shared" si="21"/>
        <v>0</v>
      </c>
      <c r="F42" s="13">
        <f t="shared" si="21"/>
        <v>0</v>
      </c>
      <c r="G42" s="13">
        <f t="shared" si="21"/>
        <v>2.4090277777777778</v>
      </c>
      <c r="H42" s="13" t="str">
        <f t="shared" si="21"/>
        <v>time below</v>
      </c>
      <c r="I42" s="13">
        <f t="shared" si="21"/>
        <v>0</v>
      </c>
      <c r="J42" s="13">
        <f t="shared" si="21"/>
        <v>0</v>
      </c>
      <c r="K42" s="13">
        <f t="shared" si="21"/>
        <v>0</v>
      </c>
      <c r="L42" s="13">
        <f t="shared" si="21"/>
        <v>0</v>
      </c>
      <c r="M42" s="13">
        <f t="shared" si="21"/>
        <v>0</v>
      </c>
      <c r="N42" s="13">
        <f t="shared" si="21"/>
        <v>0</v>
      </c>
      <c r="O42" s="13">
        <f t="shared" si="21"/>
        <v>5.3812499999999996</v>
      </c>
      <c r="P42" s="13">
        <f t="shared" si="21"/>
        <v>5.7298611111111111</v>
      </c>
      <c r="Q42" s="5"/>
      <c r="R42" s="5"/>
      <c r="S42" s="5"/>
      <c r="T42" s="5"/>
    </row>
    <row r="43" spans="1:20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20" x14ac:dyDescent="0.25">
      <c r="B44" s="9">
        <f>B4</f>
        <v>1142</v>
      </c>
      <c r="C44" s="9">
        <f t="shared" ref="C44:P44" si="22">C4</f>
        <v>1141</v>
      </c>
      <c r="D44" s="9">
        <f t="shared" si="22"/>
        <v>1136</v>
      </c>
      <c r="E44" s="9">
        <f t="shared" si="22"/>
        <v>0</v>
      </c>
      <c r="F44" s="9">
        <v>1136</v>
      </c>
      <c r="G44" s="9">
        <f t="shared" si="22"/>
        <v>1133</v>
      </c>
      <c r="H44" s="5">
        <f t="shared" si="22"/>
        <v>2.6423611111111112</v>
      </c>
      <c r="I44" s="9">
        <f t="shared" si="22"/>
        <v>1126</v>
      </c>
      <c r="J44" s="9">
        <f t="shared" si="22"/>
        <v>1124</v>
      </c>
      <c r="K44" s="9">
        <f t="shared" si="22"/>
        <v>1099</v>
      </c>
      <c r="L44" s="9">
        <f t="shared" si="22"/>
        <v>1099</v>
      </c>
      <c r="M44" s="9">
        <f t="shared" si="22"/>
        <v>0</v>
      </c>
      <c r="N44" s="9">
        <v>1099</v>
      </c>
      <c r="O44" s="9">
        <f t="shared" si="22"/>
        <v>1099</v>
      </c>
      <c r="P44" s="9">
        <f t="shared" si="22"/>
        <v>1095</v>
      </c>
    </row>
    <row r="45" spans="1:20" x14ac:dyDescent="0.25">
      <c r="B45" s="9">
        <f t="shared" ref="B45:P45" si="23">B5</f>
        <v>1160</v>
      </c>
      <c r="C45" s="9">
        <f t="shared" si="23"/>
        <v>1154</v>
      </c>
      <c r="D45" s="9">
        <f t="shared" si="23"/>
        <v>1164</v>
      </c>
      <c r="E45" s="9">
        <f t="shared" si="23"/>
        <v>0</v>
      </c>
      <c r="F45" s="9">
        <v>1164</v>
      </c>
      <c r="G45" s="9">
        <f t="shared" si="23"/>
        <v>1025</v>
      </c>
      <c r="H45" s="5">
        <f t="shared" si="23"/>
        <v>2.6631944444444446</v>
      </c>
      <c r="I45" s="9">
        <f t="shared" si="23"/>
        <v>1023</v>
      </c>
      <c r="J45" s="9">
        <f t="shared" si="23"/>
        <v>1023</v>
      </c>
      <c r="K45" s="9">
        <f t="shared" si="23"/>
        <v>1016</v>
      </c>
      <c r="L45" s="9">
        <f t="shared" si="23"/>
        <v>1016</v>
      </c>
      <c r="M45" s="9">
        <f t="shared" si="23"/>
        <v>0</v>
      </c>
      <c r="N45" s="9">
        <v>1016</v>
      </c>
      <c r="O45" s="9">
        <f t="shared" si="23"/>
        <v>1023</v>
      </c>
      <c r="P45" s="9">
        <f t="shared" si="23"/>
        <v>1029</v>
      </c>
    </row>
    <row r="46" spans="1:20" x14ac:dyDescent="0.25">
      <c r="B46" s="9">
        <f t="shared" ref="B46:P46" si="24">B6</f>
        <v>1159</v>
      </c>
      <c r="C46" s="9">
        <f t="shared" si="24"/>
        <v>1154</v>
      </c>
      <c r="D46" s="9">
        <f t="shared" si="24"/>
        <v>1144</v>
      </c>
      <c r="E46" s="9">
        <f t="shared" si="24"/>
        <v>0</v>
      </c>
      <c r="F46" s="9">
        <v>1144</v>
      </c>
      <c r="G46" s="9">
        <f t="shared" si="24"/>
        <v>1094</v>
      </c>
      <c r="H46" s="5">
        <f t="shared" si="24"/>
        <v>2.6819444444444445</v>
      </c>
      <c r="I46" s="9">
        <f t="shared" si="24"/>
        <v>1084</v>
      </c>
      <c r="J46" s="9">
        <f t="shared" si="24"/>
        <v>1080</v>
      </c>
      <c r="K46" s="9">
        <f t="shared" si="24"/>
        <v>1074</v>
      </c>
      <c r="L46" s="9">
        <f t="shared" si="24"/>
        <v>1069</v>
      </c>
      <c r="M46" s="9">
        <f t="shared" si="24"/>
        <v>0</v>
      </c>
      <c r="N46" s="9">
        <v>1069</v>
      </c>
      <c r="O46" s="9">
        <f t="shared" si="24"/>
        <v>1029</v>
      </c>
      <c r="P46" s="9">
        <f t="shared" si="24"/>
        <v>1027</v>
      </c>
    </row>
    <row r="47" spans="1:20" x14ac:dyDescent="0.25">
      <c r="B47" s="10">
        <f>AVERAGE(B44:B46)</f>
        <v>1153.6666666666667</v>
      </c>
      <c r="C47" s="10">
        <f t="shared" ref="C47:P47" si="25">AVERAGE(C44:C46)</f>
        <v>1149.6666666666667</v>
      </c>
      <c r="D47" s="10">
        <f t="shared" si="25"/>
        <v>1148</v>
      </c>
      <c r="E47" s="10">
        <f t="shared" si="25"/>
        <v>0</v>
      </c>
      <c r="F47" s="10">
        <f t="shared" si="25"/>
        <v>1148</v>
      </c>
      <c r="G47" s="10">
        <f t="shared" si="25"/>
        <v>1084</v>
      </c>
      <c r="H47" s="8">
        <f t="shared" si="25"/>
        <v>2.6625000000000001</v>
      </c>
      <c r="I47" s="10">
        <f t="shared" si="25"/>
        <v>1077.6666666666667</v>
      </c>
      <c r="J47" s="10">
        <f t="shared" si="25"/>
        <v>1075.6666666666667</v>
      </c>
      <c r="K47" s="10">
        <f t="shared" si="25"/>
        <v>1063</v>
      </c>
      <c r="L47" s="10">
        <f t="shared" si="25"/>
        <v>1061.3333333333333</v>
      </c>
      <c r="M47" s="10">
        <f t="shared" si="25"/>
        <v>0</v>
      </c>
      <c r="N47" s="10">
        <f t="shared" si="25"/>
        <v>1061.3333333333333</v>
      </c>
      <c r="O47" s="10">
        <f t="shared" si="25"/>
        <v>1050.3333333333333</v>
      </c>
      <c r="P47" s="10">
        <f t="shared" si="25"/>
        <v>1050.3333333333333</v>
      </c>
    </row>
    <row r="48" spans="1:20" x14ac:dyDescent="0.25">
      <c r="B48" s="9">
        <f t="shared" ref="B48:P48" si="26">B8</f>
        <v>1126</v>
      </c>
      <c r="C48" s="9">
        <f t="shared" si="26"/>
        <v>1127</v>
      </c>
      <c r="D48" s="9">
        <f t="shared" si="26"/>
        <v>1121</v>
      </c>
      <c r="E48" s="9">
        <f t="shared" si="26"/>
        <v>1117</v>
      </c>
      <c r="F48" s="9">
        <f t="shared" si="26"/>
        <v>1111</v>
      </c>
      <c r="G48" s="9">
        <f t="shared" si="26"/>
        <v>1107</v>
      </c>
      <c r="H48" s="5">
        <f t="shared" si="26"/>
        <v>2.7180555555555554</v>
      </c>
      <c r="I48" s="9">
        <f t="shared" si="26"/>
        <v>1103</v>
      </c>
      <c r="J48" s="9">
        <f t="shared" si="26"/>
        <v>1099</v>
      </c>
      <c r="K48" s="9">
        <f t="shared" si="26"/>
        <v>1087</v>
      </c>
      <c r="L48" s="9">
        <f t="shared" si="26"/>
        <v>1084</v>
      </c>
      <c r="M48" s="9">
        <f t="shared" si="26"/>
        <v>0</v>
      </c>
      <c r="N48" s="9">
        <f t="shared" si="26"/>
        <v>1084</v>
      </c>
      <c r="O48" s="9">
        <f t="shared" si="26"/>
        <v>1067</v>
      </c>
      <c r="P48" s="9">
        <f t="shared" si="26"/>
        <v>1061</v>
      </c>
    </row>
    <row r="49" spans="1:16" x14ac:dyDescent="0.25">
      <c r="B49" s="9">
        <f t="shared" ref="B49:P49" si="27">B9</f>
        <v>1168</v>
      </c>
      <c r="C49" s="9">
        <f t="shared" si="27"/>
        <v>1165</v>
      </c>
      <c r="D49" s="9">
        <f t="shared" si="27"/>
        <v>1163</v>
      </c>
      <c r="E49" s="9">
        <f t="shared" si="27"/>
        <v>1160</v>
      </c>
      <c r="F49" s="9">
        <f t="shared" si="27"/>
        <v>1160</v>
      </c>
      <c r="G49" s="9">
        <f t="shared" si="27"/>
        <v>1137</v>
      </c>
      <c r="H49" s="5">
        <f t="shared" si="27"/>
        <v>2.7006944444444443</v>
      </c>
      <c r="I49" s="9">
        <f t="shared" si="27"/>
        <v>1132</v>
      </c>
      <c r="J49" s="9">
        <f t="shared" si="27"/>
        <v>1128</v>
      </c>
      <c r="K49" s="9">
        <f t="shared" si="27"/>
        <v>1119</v>
      </c>
      <c r="L49" s="9">
        <f t="shared" si="27"/>
        <v>1114</v>
      </c>
      <c r="M49" s="9">
        <f t="shared" si="27"/>
        <v>1104</v>
      </c>
      <c r="N49" s="9">
        <f t="shared" si="27"/>
        <v>1101</v>
      </c>
      <c r="O49" s="9">
        <f t="shared" si="27"/>
        <v>1100</v>
      </c>
      <c r="P49" s="9">
        <f t="shared" si="27"/>
        <v>1093</v>
      </c>
    </row>
    <row r="50" spans="1:16" x14ac:dyDescent="0.25">
      <c r="B50" s="9">
        <f t="shared" ref="B50:P50" si="28">B10</f>
        <v>1156</v>
      </c>
      <c r="C50" s="9">
        <f t="shared" si="28"/>
        <v>1154</v>
      </c>
      <c r="D50" s="9">
        <f t="shared" si="28"/>
        <v>1119</v>
      </c>
      <c r="E50" s="9">
        <f t="shared" si="28"/>
        <v>0</v>
      </c>
      <c r="F50" s="9">
        <f t="shared" si="28"/>
        <v>1119</v>
      </c>
      <c r="G50" s="9">
        <f t="shared" si="28"/>
        <v>1048</v>
      </c>
      <c r="H50" s="5">
        <f t="shared" si="28"/>
        <v>2.7493055555555554</v>
      </c>
      <c r="I50" s="9">
        <f t="shared" si="28"/>
        <v>1045</v>
      </c>
      <c r="J50" s="9">
        <f t="shared" si="28"/>
        <v>1043</v>
      </c>
      <c r="K50" s="9">
        <f t="shared" si="28"/>
        <v>1029</v>
      </c>
      <c r="L50" s="9">
        <f t="shared" si="28"/>
        <v>1029</v>
      </c>
      <c r="M50" s="9">
        <f t="shared" si="28"/>
        <v>0</v>
      </c>
      <c r="N50" s="9">
        <f t="shared" si="28"/>
        <v>1029</v>
      </c>
      <c r="O50" s="9">
        <f t="shared" si="28"/>
        <v>1029</v>
      </c>
      <c r="P50" s="9">
        <f t="shared" si="28"/>
        <v>1026</v>
      </c>
    </row>
    <row r="51" spans="1:16" x14ac:dyDescent="0.25">
      <c r="B51" s="10">
        <f t="shared" ref="B51:P51" si="29">B11</f>
        <v>1150</v>
      </c>
      <c r="C51" s="10">
        <f t="shared" si="29"/>
        <v>1148.6666666666667</v>
      </c>
      <c r="D51" s="10">
        <f t="shared" si="29"/>
        <v>1134.3333333333333</v>
      </c>
      <c r="E51" s="10">
        <f t="shared" si="29"/>
        <v>0</v>
      </c>
      <c r="F51" s="10">
        <f t="shared" si="29"/>
        <v>1130</v>
      </c>
      <c r="G51" s="10">
        <f t="shared" si="29"/>
        <v>1097.3333333333333</v>
      </c>
      <c r="H51" s="10">
        <f t="shared" si="29"/>
        <v>0</v>
      </c>
      <c r="I51" s="10">
        <f t="shared" si="29"/>
        <v>1093.3333333333333</v>
      </c>
      <c r="J51" s="10">
        <f t="shared" si="29"/>
        <v>0</v>
      </c>
      <c r="K51" s="10">
        <f t="shared" si="29"/>
        <v>0</v>
      </c>
      <c r="L51" s="10">
        <f t="shared" si="29"/>
        <v>1075.6666666666667</v>
      </c>
      <c r="M51" s="10">
        <f t="shared" si="29"/>
        <v>0</v>
      </c>
      <c r="N51" s="10">
        <f t="shared" si="29"/>
        <v>1071.3333333333333</v>
      </c>
      <c r="O51" s="10">
        <f t="shared" si="29"/>
        <v>1065.3333333333333</v>
      </c>
      <c r="P51" s="10">
        <f t="shared" si="29"/>
        <v>1060</v>
      </c>
    </row>
    <row r="52" spans="1:16" x14ac:dyDescent="0.25">
      <c r="A52" s="12" t="s">
        <v>25</v>
      </c>
      <c r="B52" s="11">
        <f>B42</f>
        <v>0.50694444444444442</v>
      </c>
      <c r="C52" s="11">
        <f t="shared" ref="C52:D52" si="30">C42</f>
        <v>0.64652777777777781</v>
      </c>
      <c r="D52" s="11">
        <f t="shared" si="30"/>
        <v>1.3618055555555555</v>
      </c>
      <c r="E52" s="11">
        <f>G42</f>
        <v>2.4090277777777778</v>
      </c>
      <c r="F52" s="11">
        <f>H44</f>
        <v>2.6423611111111112</v>
      </c>
      <c r="G52" s="11">
        <f>O42</f>
        <v>5.3812499999999996</v>
      </c>
      <c r="H52" s="11">
        <f>P42</f>
        <v>5.7298611111111111</v>
      </c>
      <c r="I52" s="5"/>
      <c r="J52" s="5"/>
      <c r="K52" s="9"/>
      <c r="L52" s="9"/>
      <c r="M52" s="9"/>
      <c r="N52" s="9"/>
      <c r="O52" s="9"/>
      <c r="P52" s="9"/>
    </row>
    <row r="53" spans="1:16" x14ac:dyDescent="0.25">
      <c r="B53" s="9">
        <f>B44</f>
        <v>1142</v>
      </c>
      <c r="C53" s="9">
        <f>C44+R$2</f>
        <v>1146</v>
      </c>
      <c r="D53" s="9">
        <f>D44+$R$2 *2</f>
        <v>1146</v>
      </c>
      <c r="E53">
        <f>G44+($D44-$F44)+$R$2 *3</f>
        <v>1148</v>
      </c>
      <c r="F53">
        <f>I44+($D44-$F44)+$R$2 *4</f>
        <v>1146</v>
      </c>
      <c r="G53" s="9">
        <f>I44+($D44-$F44)+($I44-$N44)+$R$2*5</f>
        <v>1178</v>
      </c>
      <c r="H53" s="9">
        <f>J44+($D44-$F44)+($I44-$N44)+$R$2*6</f>
        <v>1181</v>
      </c>
      <c r="I53" s="9"/>
      <c r="J53" s="9"/>
      <c r="L53" s="9"/>
      <c r="M53" s="9"/>
      <c r="N53" s="9"/>
      <c r="O53" s="9"/>
      <c r="P53" s="9"/>
    </row>
    <row r="54" spans="1:16" x14ac:dyDescent="0.25">
      <c r="B54" s="9">
        <f t="shared" ref="B54:B59" si="31">B45</f>
        <v>1160</v>
      </c>
      <c r="C54" s="9">
        <f t="shared" ref="C54:C59" si="32">C45+R$2</f>
        <v>1159</v>
      </c>
      <c r="D54" s="9">
        <f t="shared" ref="D54:D59" si="33">D45+$R$2 *2</f>
        <v>1174</v>
      </c>
      <c r="E54">
        <f>G45+($D45-$F45)+$R$2 *3</f>
        <v>1040</v>
      </c>
      <c r="F54">
        <f>I45+($D45-$F45)+$R$2 *4</f>
        <v>1043</v>
      </c>
      <c r="G54" s="9">
        <f t="shared" ref="G54:G59" si="34">I45+($D45-$F45)+($I45-$N45)+$R$2*5</f>
        <v>1055</v>
      </c>
      <c r="H54" s="9">
        <f t="shared" ref="H54:H59" si="35">J45+($D45-$F45)+($I45-$N45)+$R$2*6</f>
        <v>1060</v>
      </c>
      <c r="I54" s="9"/>
      <c r="J54" s="9"/>
      <c r="L54" s="9"/>
      <c r="M54" s="9"/>
      <c r="N54" s="9"/>
      <c r="O54" s="9"/>
      <c r="P54" s="9"/>
    </row>
    <row r="55" spans="1:16" x14ac:dyDescent="0.25">
      <c r="B55" s="9">
        <f t="shared" si="31"/>
        <v>1159</v>
      </c>
      <c r="C55" s="9">
        <f t="shared" si="32"/>
        <v>1159</v>
      </c>
      <c r="D55" s="9">
        <f t="shared" si="33"/>
        <v>1154</v>
      </c>
      <c r="E55">
        <f>G46+($D46-$F46)+$R$2 *3</f>
        <v>1109</v>
      </c>
      <c r="F55">
        <f>I46+($D46-$F46)+$R$2 *4</f>
        <v>1104</v>
      </c>
      <c r="G55" s="9">
        <f t="shared" si="34"/>
        <v>1124</v>
      </c>
      <c r="H55" s="9">
        <f t="shared" si="35"/>
        <v>1125</v>
      </c>
      <c r="I55" s="9"/>
      <c r="J55" s="9"/>
      <c r="L55" s="9"/>
      <c r="M55" s="9"/>
      <c r="N55" s="9"/>
      <c r="O55" s="9"/>
      <c r="P55" s="9"/>
    </row>
    <row r="56" spans="1:16" x14ac:dyDescent="0.25">
      <c r="B56" s="10">
        <f>AVERAGE(B53:B55)</f>
        <v>1153.6666666666667</v>
      </c>
      <c r="C56" s="10">
        <f t="shared" ref="C56:H56" si="36">AVERAGE(C53:C55)</f>
        <v>1154.6666666666667</v>
      </c>
      <c r="D56" s="10">
        <f t="shared" si="36"/>
        <v>1158</v>
      </c>
      <c r="E56" s="10">
        <f t="shared" si="36"/>
        <v>1099</v>
      </c>
      <c r="F56" s="10">
        <f t="shared" si="36"/>
        <v>1097.6666666666667</v>
      </c>
      <c r="G56" s="10">
        <f t="shared" si="36"/>
        <v>1119</v>
      </c>
      <c r="H56" s="10">
        <f t="shared" si="36"/>
        <v>1122</v>
      </c>
      <c r="I56" s="9"/>
      <c r="J56" s="9"/>
      <c r="L56" s="9"/>
      <c r="M56" s="9"/>
      <c r="N56" s="9"/>
      <c r="O56" s="9"/>
      <c r="P56" s="9"/>
    </row>
    <row r="57" spans="1:16" x14ac:dyDescent="0.25">
      <c r="B57" s="9">
        <f t="shared" si="31"/>
        <v>1126</v>
      </c>
      <c r="C57" s="9">
        <f t="shared" si="32"/>
        <v>1132</v>
      </c>
      <c r="D57" s="9">
        <f t="shared" si="33"/>
        <v>1131</v>
      </c>
      <c r="E57">
        <f>G48+($D48-$F48)+$R$2 *3</f>
        <v>1132</v>
      </c>
      <c r="F57">
        <f>I48+($D48-$F48)+$R$2 *4</f>
        <v>1133</v>
      </c>
      <c r="G57" s="9">
        <f t="shared" si="34"/>
        <v>1157</v>
      </c>
      <c r="H57" s="9">
        <f t="shared" si="35"/>
        <v>1158</v>
      </c>
      <c r="I57" s="9"/>
      <c r="J57" s="9"/>
      <c r="L57" s="9"/>
      <c r="M57" s="9"/>
      <c r="N57" s="9"/>
      <c r="O57" s="9"/>
      <c r="P57" s="9"/>
    </row>
    <row r="58" spans="1:16" x14ac:dyDescent="0.25">
      <c r="B58" s="9">
        <f t="shared" si="31"/>
        <v>1168</v>
      </c>
      <c r="C58" s="9">
        <f t="shared" si="32"/>
        <v>1170</v>
      </c>
      <c r="D58" s="9">
        <f t="shared" si="33"/>
        <v>1173</v>
      </c>
      <c r="E58">
        <f>G49+($D49-$F49)+$R$2 *3</f>
        <v>1155</v>
      </c>
      <c r="F58">
        <f>I49+($D49-$F49)+$R$2 *4</f>
        <v>1155</v>
      </c>
      <c r="G58" s="9">
        <f t="shared" si="34"/>
        <v>1191</v>
      </c>
      <c r="H58" s="9">
        <f t="shared" si="35"/>
        <v>1192</v>
      </c>
      <c r="I58" s="9"/>
      <c r="J58" s="9"/>
    </row>
    <row r="59" spans="1:16" x14ac:dyDescent="0.25">
      <c r="B59" s="9">
        <f t="shared" si="31"/>
        <v>1156</v>
      </c>
      <c r="C59" s="9">
        <f t="shared" si="32"/>
        <v>1159</v>
      </c>
      <c r="D59" s="9">
        <f t="shared" si="33"/>
        <v>1129</v>
      </c>
      <c r="E59">
        <f>G50+($D50-$F50)+$R$2 *3</f>
        <v>1063</v>
      </c>
      <c r="F59">
        <f>I50+($D50-$F50)+$R$2 *4</f>
        <v>1065</v>
      </c>
      <c r="G59" s="9">
        <f t="shared" si="34"/>
        <v>1086</v>
      </c>
      <c r="H59" s="9">
        <f t="shared" si="35"/>
        <v>1089</v>
      </c>
      <c r="I59" s="9"/>
      <c r="J59" s="9"/>
    </row>
    <row r="60" spans="1:16" x14ac:dyDescent="0.25">
      <c r="B60" s="10">
        <f>AVERAGE(B57:B59)</f>
        <v>1150</v>
      </c>
      <c r="C60" s="10">
        <f t="shared" ref="C60:H60" si="37">AVERAGE(C57:C59)</f>
        <v>1153.6666666666667</v>
      </c>
      <c r="D60" s="10">
        <f t="shared" si="37"/>
        <v>1144.3333333333333</v>
      </c>
      <c r="E60" s="10">
        <f t="shared" si="37"/>
        <v>1116.6666666666667</v>
      </c>
      <c r="F60" s="10">
        <f t="shared" si="37"/>
        <v>1117.6666666666667</v>
      </c>
      <c r="G60" s="10">
        <f t="shared" si="37"/>
        <v>1144.6666666666667</v>
      </c>
      <c r="H60" s="10">
        <f t="shared" si="37"/>
        <v>1146.3333333333333</v>
      </c>
    </row>
    <row r="61" spans="1:16" x14ac:dyDescent="0.25">
      <c r="B61" s="9">
        <f>B60-B56</f>
        <v>-3.6666666666667425</v>
      </c>
      <c r="C61" s="9">
        <f t="shared" ref="C61:H61" si="38">C60-C56</f>
        <v>-1</v>
      </c>
      <c r="D61" s="9">
        <f t="shared" si="38"/>
        <v>-13.666666666666742</v>
      </c>
      <c r="E61" s="9">
        <f t="shared" si="38"/>
        <v>17.666666666666742</v>
      </c>
      <c r="F61" s="9">
        <f t="shared" si="38"/>
        <v>20</v>
      </c>
      <c r="G61" s="9">
        <f t="shared" si="38"/>
        <v>25.666666666666742</v>
      </c>
      <c r="H61" s="9">
        <f t="shared" si="38"/>
        <v>24.333333333333258</v>
      </c>
    </row>
    <row r="62" spans="1:16" x14ac:dyDescent="0.25">
      <c r="B62" s="9">
        <f>B12</f>
        <v>1004</v>
      </c>
      <c r="C62" s="9">
        <f>C12</f>
        <v>1004</v>
      </c>
      <c r="D62" s="9">
        <f>D12</f>
        <v>1011</v>
      </c>
      <c r="E62">
        <v>1019</v>
      </c>
      <c r="F62">
        <v>1019</v>
      </c>
      <c r="G62">
        <v>1021</v>
      </c>
      <c r="H62">
        <v>1023</v>
      </c>
    </row>
    <row r="63" spans="1:16" x14ac:dyDescent="0.25">
      <c r="B63" s="9"/>
    </row>
    <row r="64" spans="1:16" x14ac:dyDescent="0.25">
      <c r="A64" s="12" t="s">
        <v>26</v>
      </c>
      <c r="B64" s="11">
        <f>C52-B52</f>
        <v>0.13958333333333339</v>
      </c>
      <c r="C64" s="11">
        <f t="shared" ref="C64:G64" si="39">D52-C52</f>
        <v>0.71527777777777768</v>
      </c>
      <c r="D64" s="11">
        <f t="shared" si="39"/>
        <v>1.0472222222222223</v>
      </c>
      <c r="E64" s="11">
        <f t="shared" si="39"/>
        <v>0.23333333333333339</v>
      </c>
      <c r="F64" s="11">
        <f t="shared" si="39"/>
        <v>2.7388888888888885</v>
      </c>
      <c r="G64" s="11">
        <f t="shared" si="39"/>
        <v>0.34861111111111143</v>
      </c>
      <c r="H64" s="11" t="s">
        <v>27</v>
      </c>
    </row>
    <row r="65" spans="2:8" x14ac:dyDescent="0.25">
      <c r="B65" s="9">
        <f>C60-B60</f>
        <v>3.6666666666667425</v>
      </c>
      <c r="C65" s="9">
        <f t="shared" ref="C65:G65" si="40">D60-C60</f>
        <v>-9.3333333333334849</v>
      </c>
      <c r="D65" s="9">
        <f t="shared" si="40"/>
        <v>-27.666666666666515</v>
      </c>
      <c r="E65" s="9">
        <f t="shared" si="40"/>
        <v>1</v>
      </c>
      <c r="F65" s="9">
        <f t="shared" si="40"/>
        <v>27</v>
      </c>
      <c r="G65" s="9">
        <f t="shared" si="40"/>
        <v>1.6666666666665151</v>
      </c>
      <c r="H65" s="12" t="s">
        <v>28</v>
      </c>
    </row>
    <row r="66" spans="2:8" x14ac:dyDescent="0.25">
      <c r="B66">
        <f>B65/B64</f>
        <v>26.268656716418441</v>
      </c>
      <c r="C66">
        <f t="shared" ref="C66:G66" si="41">C65/C64</f>
        <v>-13.048543689320603</v>
      </c>
      <c r="D66">
        <f t="shared" si="41"/>
        <v>-26.419098143235928</v>
      </c>
      <c r="E66">
        <f t="shared" si="41"/>
        <v>4.2857142857142847</v>
      </c>
      <c r="F66">
        <f>F65/F64</f>
        <v>9.8580121703853969</v>
      </c>
      <c r="G66">
        <f t="shared" si="41"/>
        <v>4.7808764940234649</v>
      </c>
      <c r="H66" s="12" t="s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4B77-2096-46AD-A2D4-52FCDC26CC6D}">
  <dimension ref="A1:P18"/>
  <sheetViews>
    <sheetView workbookViewId="0">
      <selection activeCell="F14" sqref="F14"/>
    </sheetView>
  </sheetViews>
  <sheetFormatPr defaultRowHeight="15" x14ac:dyDescent="0.25"/>
  <cols>
    <col min="1" max="1" width="33.28515625" customWidth="1"/>
    <col min="8" max="8" width="9.5703125" bestFit="1" customWidth="1"/>
    <col min="13" max="13" width="22.140625" customWidth="1"/>
    <col min="14" max="14" width="17.28515625" customWidth="1"/>
  </cols>
  <sheetData>
    <row r="1" spans="1:16" x14ac:dyDescent="0.25">
      <c r="A1" s="16" t="s">
        <v>53</v>
      </c>
      <c r="B1" s="16"/>
      <c r="C1" s="16"/>
      <c r="D1" s="16"/>
      <c r="E1" s="16"/>
      <c r="F1" s="16"/>
      <c r="G1" s="16"/>
    </row>
    <row r="2" spans="1:16" ht="20.25" thickBot="1" x14ac:dyDescent="0.35"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L2" s="19" t="s">
        <v>57</v>
      </c>
      <c r="M2" s="19" t="s">
        <v>58</v>
      </c>
      <c r="N2" s="19" t="s">
        <v>54</v>
      </c>
      <c r="O2" s="19" t="s">
        <v>55</v>
      </c>
      <c r="P2" s="19" t="s">
        <v>56</v>
      </c>
    </row>
    <row r="3" spans="1:16" ht="15.75" thickTop="1" x14ac:dyDescent="0.25">
      <c r="B3" t="s">
        <v>2</v>
      </c>
      <c r="C3" s="16">
        <v>80</v>
      </c>
      <c r="D3" s="16"/>
      <c r="E3" s="16"/>
      <c r="F3">
        <f>O3</f>
        <v>6.5061364699999999E-3</v>
      </c>
      <c r="G3" s="16"/>
      <c r="H3">
        <f>F3*50</f>
        <v>0.32530682350000001</v>
      </c>
      <c r="I3">
        <f>F$10*H3</f>
        <v>6.968072159370001</v>
      </c>
      <c r="K3" t="s">
        <v>5</v>
      </c>
      <c r="L3" s="17">
        <v>21.4</v>
      </c>
      <c r="M3" s="17">
        <v>10</v>
      </c>
      <c r="N3" s="17">
        <v>1.7000000000000001E-2</v>
      </c>
      <c r="O3" s="18">
        <f>P3/10000</f>
        <v>6.5061364699999999E-3</v>
      </c>
      <c r="P3" s="18">
        <f>N3/M3 * 130.82 * (271.15 +L3)</f>
        <v>65.061364699999999</v>
      </c>
    </row>
    <row r="4" spans="1:16" x14ac:dyDescent="0.25">
      <c r="B4" t="s">
        <v>3</v>
      </c>
      <c r="C4" s="16"/>
      <c r="D4" s="16"/>
      <c r="E4" s="16"/>
      <c r="F4">
        <f t="shared" ref="F4:F8" si="0">O4</f>
        <v>6.8888503799999978E-3</v>
      </c>
      <c r="G4" s="16"/>
      <c r="H4">
        <f t="shared" ref="H4:H8" si="1">F4*50</f>
        <v>0.34444251899999989</v>
      </c>
      <c r="I4">
        <f t="shared" ref="I4:I8" si="2">F$10*H4</f>
        <v>7.3779587569799983</v>
      </c>
      <c r="L4" s="17">
        <v>21.4</v>
      </c>
      <c r="M4" s="17">
        <v>10</v>
      </c>
      <c r="N4" s="17">
        <v>1.7999999999999999E-2</v>
      </c>
      <c r="O4" s="18">
        <f t="shared" ref="O4:O8" si="3">P4/10000</f>
        <v>6.8888503799999978E-3</v>
      </c>
      <c r="P4" s="18">
        <f t="shared" ref="P4:P5" si="4">N4/M4 * 130.82 * (271.15 +L4)</f>
        <v>68.888503799999981</v>
      </c>
    </row>
    <row r="5" spans="1:16" x14ac:dyDescent="0.25">
      <c r="B5" t="s">
        <v>4</v>
      </c>
      <c r="C5" s="16"/>
      <c r="D5" s="16">
        <v>0.1676</v>
      </c>
      <c r="E5" s="16">
        <v>0</v>
      </c>
      <c r="F5">
        <f t="shared" si="0"/>
        <v>5.3579947399999984E-3</v>
      </c>
      <c r="G5" s="16"/>
      <c r="H5">
        <f t="shared" si="1"/>
        <v>0.26789973699999992</v>
      </c>
      <c r="I5">
        <f t="shared" si="2"/>
        <v>5.7384123665399986</v>
      </c>
      <c r="K5" t="s">
        <v>6</v>
      </c>
      <c r="L5" s="17">
        <v>21.4</v>
      </c>
      <c r="M5" s="17">
        <v>10</v>
      </c>
      <c r="N5" s="17">
        <v>1.4E-2</v>
      </c>
      <c r="O5" s="18">
        <f t="shared" si="3"/>
        <v>5.3579947399999984E-3</v>
      </c>
      <c r="P5" s="18">
        <f t="shared" si="4"/>
        <v>53.579947399999988</v>
      </c>
    </row>
    <row r="6" spans="1:16" x14ac:dyDescent="0.25">
      <c r="B6" t="s">
        <v>5</v>
      </c>
      <c r="C6" s="16"/>
      <c r="D6" s="16"/>
      <c r="E6" s="16"/>
      <c r="F6">
        <f t="shared" si="0"/>
        <v>7.2715642899999974E-3</v>
      </c>
      <c r="G6" s="16"/>
      <c r="H6">
        <f t="shared" si="1"/>
        <v>0.36357821449999989</v>
      </c>
      <c r="I6">
        <f t="shared" si="2"/>
        <v>7.7878453545899982</v>
      </c>
      <c r="L6" s="17">
        <v>21.4</v>
      </c>
      <c r="M6" s="17">
        <v>10</v>
      </c>
      <c r="N6" s="17">
        <v>1.9E-2</v>
      </c>
      <c r="O6" s="18">
        <f t="shared" si="3"/>
        <v>7.2715642899999974E-3</v>
      </c>
      <c r="P6" s="18">
        <f t="shared" ref="P6:P8" si="5">N6/M6 * 130.82 * (271.15 +L6)</f>
        <v>72.715642899999978</v>
      </c>
    </row>
    <row r="7" spans="1:16" x14ac:dyDescent="0.25">
      <c r="B7" t="s">
        <v>6</v>
      </c>
      <c r="C7" s="16"/>
      <c r="D7" s="16"/>
      <c r="E7" s="16"/>
      <c r="F7">
        <f t="shared" si="0"/>
        <v>8.8024199299999977E-3</v>
      </c>
      <c r="G7" s="16"/>
      <c r="H7">
        <f t="shared" si="1"/>
        <v>0.44012099649999986</v>
      </c>
      <c r="I7">
        <f t="shared" si="2"/>
        <v>9.4273917450299987</v>
      </c>
      <c r="K7" t="s">
        <v>7</v>
      </c>
      <c r="L7" s="17">
        <v>21.4</v>
      </c>
      <c r="M7" s="17">
        <v>10</v>
      </c>
      <c r="N7" s="17">
        <v>2.3E-2</v>
      </c>
      <c r="O7" s="18">
        <f t="shared" si="3"/>
        <v>8.8024199299999977E-3</v>
      </c>
      <c r="P7" s="18">
        <f t="shared" si="5"/>
        <v>88.024199299999978</v>
      </c>
    </row>
    <row r="8" spans="1:16" x14ac:dyDescent="0.25">
      <c r="B8" t="s">
        <v>7</v>
      </c>
      <c r="C8" s="16"/>
      <c r="D8" s="16"/>
      <c r="E8" s="16"/>
      <c r="F8">
        <f t="shared" si="0"/>
        <v>8.8024199299999977E-3</v>
      </c>
      <c r="G8" s="16"/>
      <c r="H8">
        <f t="shared" si="1"/>
        <v>0.44012099649999986</v>
      </c>
      <c r="I8">
        <f t="shared" si="2"/>
        <v>9.4273917450299987</v>
      </c>
      <c r="L8" s="17">
        <v>21.4</v>
      </c>
      <c r="M8" s="17">
        <v>10</v>
      </c>
      <c r="N8" s="17">
        <v>2.3E-2</v>
      </c>
      <c r="O8" s="18">
        <f t="shared" si="3"/>
        <v>8.8024199299999977E-3</v>
      </c>
      <c r="P8" s="18">
        <f t="shared" si="5"/>
        <v>88.024199299999978</v>
      </c>
    </row>
    <row r="10" spans="1:16" x14ac:dyDescent="0.25">
      <c r="B10" t="s">
        <v>78</v>
      </c>
      <c r="C10">
        <v>0</v>
      </c>
      <c r="D10">
        <v>0</v>
      </c>
      <c r="E10">
        <v>42.83</v>
      </c>
      <c r="F10">
        <v>21.42</v>
      </c>
      <c r="G10">
        <v>0</v>
      </c>
    </row>
    <row r="12" spans="1:16" x14ac:dyDescent="0.25">
      <c r="B12" t="s">
        <v>89</v>
      </c>
      <c r="D12" t="s">
        <v>24</v>
      </c>
      <c r="E12" t="s">
        <v>24</v>
      </c>
      <c r="F12" t="s">
        <v>24</v>
      </c>
      <c r="H12" t="s">
        <v>90</v>
      </c>
    </row>
    <row r="13" spans="1:16" x14ac:dyDescent="0.25">
      <c r="A13" s="12" t="s">
        <v>79</v>
      </c>
      <c r="B13">
        <f>COD!F17</f>
        <v>3.1103333333333372E-2</v>
      </c>
      <c r="D13">
        <f>B13/$E$10</f>
        <v>7.2620437388123678E-4</v>
      </c>
      <c r="E13">
        <f>B13/$E$10</f>
        <v>7.2620437388123678E-4</v>
      </c>
      <c r="F13">
        <f>B13/$F$10</f>
        <v>1.4520697167756007E-3</v>
      </c>
      <c r="H13" s="20">
        <f>MAX(D13:F13)</f>
        <v>1.4520697167756007E-3</v>
      </c>
    </row>
    <row r="14" spans="1:16" x14ac:dyDescent="0.25">
      <c r="B14">
        <f>COD!F18</f>
        <v>3.8303333333333356E-2</v>
      </c>
      <c r="D14">
        <f t="shared" ref="D14:D15" si="6">B14/$E$10</f>
        <v>8.9431084131060836E-4</v>
      </c>
      <c r="E14">
        <f t="shared" ref="E14:E15" si="7">B14/$E$10</f>
        <v>8.9431084131060836E-4</v>
      </c>
      <c r="F14">
        <f t="shared" ref="F14:F15" si="8">B14/$F$10</f>
        <v>1.7882041705571125E-3</v>
      </c>
      <c r="H14" s="20">
        <f t="shared" ref="H14:H15" si="9">MAX(D14:F14)</f>
        <v>1.7882041705571125E-3</v>
      </c>
    </row>
    <row r="15" spans="1:16" x14ac:dyDescent="0.25">
      <c r="B15">
        <f>COD!F19</f>
        <v>4.2623333333333346E-2</v>
      </c>
      <c r="D15">
        <f t="shared" si="6"/>
        <v>9.9517472176823127E-4</v>
      </c>
      <c r="E15">
        <f t="shared" si="7"/>
        <v>9.9517472176823127E-4</v>
      </c>
      <c r="F15">
        <f t="shared" si="8"/>
        <v>1.9898848428260198E-3</v>
      </c>
      <c r="H15" s="20">
        <f t="shared" si="9"/>
        <v>1.9898848428260198E-3</v>
      </c>
    </row>
    <row r="16" spans="1:16" x14ac:dyDescent="0.25">
      <c r="H16" s="20"/>
    </row>
    <row r="17" spans="8:8" x14ac:dyDescent="0.25">
      <c r="H17" s="20">
        <f xml:space="preserve"> AVERAGE(H13:H15)</f>
        <v>1.7433862433862445E-3</v>
      </c>
    </row>
    <row r="18" spans="8:8" x14ac:dyDescent="0.25">
      <c r="H18" s="20">
        <f>AVEDEV(H13:H15)</f>
        <v>1.9421101774042904E-4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54C0-B77C-4C96-B680-0B3D43E7B309}">
  <dimension ref="A1:J24"/>
  <sheetViews>
    <sheetView workbookViewId="0">
      <selection activeCell="J22" sqref="J22"/>
    </sheetView>
  </sheetViews>
  <sheetFormatPr defaultRowHeight="15" x14ac:dyDescent="0.25"/>
  <cols>
    <col min="1" max="1" width="29.140625" customWidth="1"/>
    <col min="2" max="2" width="20" customWidth="1"/>
    <col min="3" max="3" width="19.140625" customWidth="1"/>
    <col min="4" max="4" width="26.140625" customWidth="1"/>
    <col min="5" max="5" width="19.42578125" customWidth="1"/>
    <col min="6" max="6" width="26" customWidth="1"/>
    <col min="7" max="7" width="16.42578125" customWidth="1"/>
  </cols>
  <sheetData>
    <row r="1" spans="1:10" x14ac:dyDescent="0.25">
      <c r="C1" s="6"/>
      <c r="H1" s="12">
        <v>100</v>
      </c>
      <c r="I1" s="12" t="s">
        <v>24</v>
      </c>
      <c r="J1" s="12" t="s">
        <v>41</v>
      </c>
    </row>
    <row r="2" spans="1:10" x14ac:dyDescent="0.25">
      <c r="A2" s="12" t="s">
        <v>72</v>
      </c>
      <c r="B2">
        <v>4555</v>
      </c>
      <c r="D2">
        <f xml:space="preserve"> AVERAGE(B2:B4)/1000</f>
        <v>4.5283333333333333</v>
      </c>
      <c r="E2">
        <f>AVEDEV(B2:B4)/1000</f>
        <v>1.7777777777777677E-2</v>
      </c>
      <c r="F2" t="s">
        <v>80</v>
      </c>
      <c r="H2" s="12">
        <v>20</v>
      </c>
      <c r="I2" s="12" t="s">
        <v>24</v>
      </c>
      <c r="J2" s="12" t="s">
        <v>42</v>
      </c>
    </row>
    <row r="3" spans="1:10" x14ac:dyDescent="0.25">
      <c r="B3">
        <v>4517</v>
      </c>
      <c r="H3" s="12">
        <v>0</v>
      </c>
      <c r="I3" s="12" t="s">
        <v>24</v>
      </c>
      <c r="J3" s="12" t="s">
        <v>43</v>
      </c>
    </row>
    <row r="4" spans="1:10" x14ac:dyDescent="0.25">
      <c r="B4">
        <v>4513</v>
      </c>
    </row>
    <row r="6" spans="1:10" x14ac:dyDescent="0.25">
      <c r="A6" s="12" t="s">
        <v>73</v>
      </c>
      <c r="B6">
        <v>5876</v>
      </c>
      <c r="D6">
        <f>AVERAGE(B6:B8)/1000</f>
        <v>5.8594999999999997</v>
      </c>
      <c r="E6">
        <f>AVEDEV(B6:B8)/1000</f>
        <v>1.6500000000000001E-2</v>
      </c>
      <c r="F6" t="s">
        <v>81</v>
      </c>
    </row>
    <row r="7" spans="1:10" x14ac:dyDescent="0.25">
      <c r="B7">
        <v>5843</v>
      </c>
    </row>
    <row r="10" spans="1:10" x14ac:dyDescent="0.25">
      <c r="A10" s="12" t="s">
        <v>74</v>
      </c>
      <c r="B10">
        <v>4491</v>
      </c>
      <c r="C10" t="s">
        <v>5</v>
      </c>
      <c r="D10">
        <f>B10*(SUM($H$1:$H$3)/1000)/1000</f>
        <v>0.53891999999999995</v>
      </c>
      <c r="E10" t="s">
        <v>75</v>
      </c>
    </row>
    <row r="11" spans="1:10" x14ac:dyDescent="0.25">
      <c r="B11">
        <v>4431</v>
      </c>
      <c r="C11" t="s">
        <v>6</v>
      </c>
      <c r="D11">
        <f t="shared" ref="D11:D12" si="0">B11*(SUM($H$1:$H$3)/1000)/1000</f>
        <v>0.53172000000000008</v>
      </c>
      <c r="E11" t="s">
        <v>75</v>
      </c>
    </row>
    <row r="12" spans="1:10" x14ac:dyDescent="0.25">
      <c r="B12">
        <v>4395</v>
      </c>
      <c r="C12" t="s">
        <v>7</v>
      </c>
      <c r="D12">
        <f t="shared" si="0"/>
        <v>0.52739999999999998</v>
      </c>
      <c r="E12" t="s">
        <v>75</v>
      </c>
    </row>
    <row r="15" spans="1:10" x14ac:dyDescent="0.25">
      <c r="A15" s="12" t="s">
        <v>76</v>
      </c>
      <c r="B15" s="12" t="s">
        <v>82</v>
      </c>
      <c r="C15" s="12" t="s">
        <v>83</v>
      </c>
      <c r="D15" s="12" t="s">
        <v>84</v>
      </c>
      <c r="E15" s="12" t="s">
        <v>45</v>
      </c>
      <c r="F15" s="12" t="s">
        <v>85</v>
      </c>
      <c r="G15" s="12" t="s">
        <v>77</v>
      </c>
    </row>
    <row r="16" spans="1:10" x14ac:dyDescent="0.25">
      <c r="A16" t="s">
        <v>44</v>
      </c>
      <c r="B16" t="s">
        <v>46</v>
      </c>
      <c r="C16" t="s">
        <v>22</v>
      </c>
    </row>
    <row r="17" spans="1:7" x14ac:dyDescent="0.25">
      <c r="A17" t="s">
        <v>5</v>
      </c>
      <c r="B17">
        <f>H$1/1000*D$2 + H$2/1000 *D$6</f>
        <v>0.57002333333333333</v>
      </c>
      <c r="C17">
        <f>B10/1000* (SUM(H$1:H$3) / 1000)</f>
        <v>0.53891999999999995</v>
      </c>
      <c r="D17">
        <f xml:space="preserve"> B17-C17</f>
        <v>3.1103333333333372E-2</v>
      </c>
      <c r="E17">
        <v>0</v>
      </c>
      <c r="F17" s="21">
        <f>D17-E17</f>
        <v>3.1103333333333372E-2</v>
      </c>
      <c r="G17">
        <f>F17/(SUM(H$1:H$3)/1000)</f>
        <v>0.25919444444444478</v>
      </c>
    </row>
    <row r="18" spans="1:7" x14ac:dyDescent="0.25">
      <c r="A18" t="s">
        <v>6</v>
      </c>
      <c r="B18">
        <f>H$1/1000*D$2 + H$2/1000 *D$6</f>
        <v>0.57002333333333333</v>
      </c>
      <c r="C18">
        <f t="shared" ref="C18:C19" si="1">B11/1000* (SUM(H$1:H$3) / 1000)</f>
        <v>0.53171999999999997</v>
      </c>
      <c r="D18">
        <f t="shared" ref="D18:D19" si="2" xml:space="preserve"> B18-C18</f>
        <v>3.8303333333333356E-2</v>
      </c>
      <c r="E18">
        <v>0</v>
      </c>
      <c r="F18" s="21">
        <f t="shared" ref="F18:F19" si="3">D18-E18</f>
        <v>3.8303333333333356E-2</v>
      </c>
      <c r="G18">
        <f t="shared" ref="G18:G19" si="4">F18/(SUM(H$1:H$3)/1000)</f>
        <v>0.31919444444444467</v>
      </c>
    </row>
    <row r="19" spans="1:7" x14ac:dyDescent="0.25">
      <c r="A19" t="s">
        <v>7</v>
      </c>
      <c r="B19">
        <f>H$1/1000*D$2 + H$2/1000 *D$6</f>
        <v>0.57002333333333333</v>
      </c>
      <c r="C19">
        <f t="shared" si="1"/>
        <v>0.52739999999999998</v>
      </c>
      <c r="D19">
        <f t="shared" si="2"/>
        <v>4.2623333333333346E-2</v>
      </c>
      <c r="E19">
        <v>0</v>
      </c>
      <c r="F19" s="21">
        <f t="shared" si="3"/>
        <v>4.2623333333333346E-2</v>
      </c>
      <c r="G19">
        <f t="shared" si="4"/>
        <v>0.35519444444444459</v>
      </c>
    </row>
    <row r="20" spans="1:7" x14ac:dyDescent="0.25">
      <c r="F20" s="21"/>
    </row>
    <row r="21" spans="1:7" x14ac:dyDescent="0.25">
      <c r="A21" t="s">
        <v>65</v>
      </c>
      <c r="B21">
        <f>AVERAGE(B17:B19)</f>
        <v>0.57002333333333333</v>
      </c>
      <c r="C21">
        <f t="shared" ref="C21:F21" si="5">AVERAGE(C17:C19)</f>
        <v>0.53268000000000004</v>
      </c>
      <c r="D21">
        <f t="shared" si="5"/>
        <v>3.734333333333336E-2</v>
      </c>
      <c r="E21">
        <f t="shared" si="5"/>
        <v>0</v>
      </c>
      <c r="F21" s="21">
        <f t="shared" si="5"/>
        <v>3.734333333333336E-2</v>
      </c>
      <c r="G21">
        <f t="shared" ref="G21" si="6">AVERAGE(G17:G19)</f>
        <v>0.31119444444444472</v>
      </c>
    </row>
    <row r="22" spans="1:7" x14ac:dyDescent="0.25">
      <c r="A22" t="s">
        <v>64</v>
      </c>
      <c r="B22">
        <f>AVEDEV(B17:B19)</f>
        <v>0</v>
      </c>
      <c r="C22">
        <f t="shared" ref="C22:F22" si="7">AVEDEV(C17:C19)</f>
        <v>4.1600000000000152E-3</v>
      </c>
      <c r="D22">
        <f>AVEDEV(D17:D19)</f>
        <v>4.1599999999999901E-3</v>
      </c>
      <c r="E22">
        <f t="shared" si="7"/>
        <v>0</v>
      </c>
      <c r="F22" s="21">
        <f t="shared" si="7"/>
        <v>4.1599999999999901E-3</v>
      </c>
      <c r="G22">
        <f t="shared" ref="G22" si="8">AVEDEV(G17:G19)</f>
        <v>3.4666666666666589E-2</v>
      </c>
    </row>
    <row r="24" spans="1:7" x14ac:dyDescent="0.25">
      <c r="B24">
        <f>B21/0.12</f>
        <v>4.7501944444444444</v>
      </c>
      <c r="C24">
        <f>C21/0.12</f>
        <v>4.4390000000000009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5F81-CF80-48E5-BEF7-AF97224E014D}">
  <dimension ref="A1:T47"/>
  <sheetViews>
    <sheetView topLeftCell="B16" zoomScale="110" zoomScaleNormal="110" workbookViewId="0">
      <selection activeCell="S42" sqref="S42"/>
    </sheetView>
  </sheetViews>
  <sheetFormatPr defaultRowHeight="15" x14ac:dyDescent="0.25"/>
  <cols>
    <col min="1" max="1" width="16.5703125" customWidth="1"/>
    <col min="2" max="2" width="14.140625" customWidth="1"/>
    <col min="5" max="5" width="11.42578125" customWidth="1"/>
    <col min="6" max="6" width="12.28515625" bestFit="1" customWidth="1"/>
    <col min="9" max="9" width="16.7109375" bestFit="1" customWidth="1"/>
    <col min="16" max="16" width="14.28515625" customWidth="1"/>
    <col min="19" max="19" width="15.42578125" customWidth="1"/>
  </cols>
  <sheetData>
    <row r="1" spans="1:16" x14ac:dyDescent="0.25">
      <c r="A1" s="12" t="s">
        <v>35</v>
      </c>
      <c r="B1" s="12"/>
      <c r="C1" s="12"/>
      <c r="D1" s="12" t="s">
        <v>37</v>
      </c>
      <c r="E1" s="12" t="s">
        <v>33</v>
      </c>
      <c r="F1" s="12" t="s">
        <v>34</v>
      </c>
      <c r="G1" s="12"/>
      <c r="H1" s="12" t="s">
        <v>36</v>
      </c>
      <c r="I1" s="12"/>
      <c r="J1" s="12" t="s">
        <v>37</v>
      </c>
      <c r="K1" s="12">
        <v>105</v>
      </c>
      <c r="L1" s="12">
        <v>550</v>
      </c>
      <c r="M1" s="12" t="s">
        <v>13</v>
      </c>
      <c r="N1" s="12" t="s">
        <v>11</v>
      </c>
      <c r="O1" s="12" t="s">
        <v>38</v>
      </c>
      <c r="P1" s="12" t="s">
        <v>39</v>
      </c>
    </row>
    <row r="2" spans="1:16" x14ac:dyDescent="0.25">
      <c r="B2" t="s">
        <v>2</v>
      </c>
      <c r="C2">
        <v>1</v>
      </c>
      <c r="D2">
        <v>2.6560000000000001</v>
      </c>
      <c r="E2">
        <v>2.6587999999999998</v>
      </c>
      <c r="F2">
        <v>2.6547000000000001</v>
      </c>
      <c r="I2" t="s">
        <v>2</v>
      </c>
      <c r="J2">
        <f>AVERAGE(D2:D4)</f>
        <v>2.6566666666666667</v>
      </c>
      <c r="K2">
        <f t="shared" ref="K2:L2" si="0">AVERAGE(E2:E4)</f>
        <v>2.6588999999999996</v>
      </c>
      <c r="L2">
        <f t="shared" si="0"/>
        <v>2.6551666666666667</v>
      </c>
      <c r="M2">
        <f>K2-J2</f>
        <v>2.2333333333328653E-3</v>
      </c>
      <c r="N2">
        <f>K2-L2</f>
        <v>3.7333333333329222E-3</v>
      </c>
      <c r="O2">
        <f>M2/($B$21/1000)</f>
        <v>0.11166666666664327</v>
      </c>
      <c r="P2">
        <f>N2*(1000/B21)</f>
        <v>0.18666666666664611</v>
      </c>
    </row>
    <row r="3" spans="1:16" x14ac:dyDescent="0.25">
      <c r="C3">
        <v>2</v>
      </c>
      <c r="D3">
        <v>2.6488999999999998</v>
      </c>
      <c r="E3">
        <v>2.6509999999999998</v>
      </c>
      <c r="F3">
        <v>2.6473</v>
      </c>
      <c r="J3">
        <f>AVEDEV(D2:D4)</f>
        <v>5.6222222222221951E-3</v>
      </c>
      <c r="K3">
        <f t="shared" ref="K3:L3" si="1">AVEDEV(E2:E4)</f>
        <v>5.3333333333333384E-3</v>
      </c>
      <c r="L3">
        <f t="shared" si="1"/>
        <v>5.5555555555555358E-3</v>
      </c>
    </row>
    <row r="4" spans="1:16" x14ac:dyDescent="0.25">
      <c r="C4">
        <v>3</v>
      </c>
      <c r="D4">
        <v>2.6650999999999998</v>
      </c>
      <c r="E4">
        <v>2.6669</v>
      </c>
      <c r="F4">
        <v>2.6635</v>
      </c>
    </row>
    <row r="5" spans="1:16" x14ac:dyDescent="0.25">
      <c r="B5" t="s">
        <v>3</v>
      </c>
      <c r="C5">
        <v>1</v>
      </c>
      <c r="D5" s="16">
        <v>2.6535000000000002</v>
      </c>
      <c r="E5">
        <v>2.6528</v>
      </c>
      <c r="F5">
        <v>2.6494</v>
      </c>
      <c r="I5" t="s">
        <v>3</v>
      </c>
      <c r="J5">
        <f>AVERAGE(D5:D7)</f>
        <v>2.6616999999999997</v>
      </c>
      <c r="K5">
        <f>AVERAGE(E5:E7)</f>
        <v>2.6609333333333334</v>
      </c>
      <c r="L5">
        <f>AVERAGE(F5:F7)</f>
        <v>2.6575333333333333</v>
      </c>
      <c r="M5">
        <f t="shared" ref="M5:M17" si="2">K5-J5</f>
        <v>-7.6666666666636019E-4</v>
      </c>
      <c r="N5">
        <f>K5-L5</f>
        <v>3.4000000000000696E-3</v>
      </c>
      <c r="O5">
        <f>M5/($B$21/1000)</f>
        <v>-3.8333333333318009E-2</v>
      </c>
      <c r="P5">
        <f>N5/$B$21*1000</f>
        <v>0.17000000000000348</v>
      </c>
    </row>
    <row r="6" spans="1:16" x14ac:dyDescent="0.25">
      <c r="C6">
        <v>2</v>
      </c>
      <c r="D6" s="16">
        <v>2.6583000000000001</v>
      </c>
      <c r="E6">
        <v>2.6573000000000002</v>
      </c>
      <c r="F6">
        <v>2.6539999999999999</v>
      </c>
      <c r="J6">
        <f>AVEDEV(D5:D7)</f>
        <v>7.733333333333074E-3</v>
      </c>
      <c r="K6">
        <f t="shared" ref="K6" si="3">AVEDEV(E5:E7)</f>
        <v>7.8444444444443207E-3</v>
      </c>
      <c r="L6">
        <f t="shared" ref="L6" si="4">AVEDEV(F5:F7)</f>
        <v>7.7777777777778096E-3</v>
      </c>
    </row>
    <row r="7" spans="1:16" x14ac:dyDescent="0.25">
      <c r="C7">
        <v>3</v>
      </c>
      <c r="D7" s="16">
        <v>2.6732999999999998</v>
      </c>
      <c r="E7">
        <v>2.6726999999999999</v>
      </c>
      <c r="F7">
        <v>2.6692</v>
      </c>
    </row>
    <row r="8" spans="1:16" x14ac:dyDescent="0.25">
      <c r="B8" t="s">
        <v>4</v>
      </c>
      <c r="C8">
        <v>1</v>
      </c>
      <c r="D8" s="16">
        <v>2.6976</v>
      </c>
      <c r="E8">
        <v>2.6968000000000001</v>
      </c>
      <c r="F8">
        <v>2.6930000000000001</v>
      </c>
      <c r="I8" t="s">
        <v>4</v>
      </c>
      <c r="J8">
        <f>AVERAGE(D8:D10)</f>
        <v>2.6564999999999999</v>
      </c>
      <c r="K8">
        <f t="shared" ref="K8" si="5">AVERAGE(E8:E10)</f>
        <v>2.6558000000000002</v>
      </c>
      <c r="L8">
        <f t="shared" ref="L8" si="6">AVERAGE(F8:F10)</f>
        <v>2.6521000000000003</v>
      </c>
      <c r="M8">
        <f t="shared" si="2"/>
        <v>-6.9999999999970086E-4</v>
      </c>
      <c r="N8">
        <f>K8-L8</f>
        <v>3.6999999999998145E-3</v>
      </c>
      <c r="O8">
        <f>M8/$B$21*1000</f>
        <v>-3.4999999999985043E-2</v>
      </c>
      <c r="P8">
        <f>N8/$B$21*1000</f>
        <v>0.18499999999999073</v>
      </c>
    </row>
    <row r="9" spans="1:16" x14ac:dyDescent="0.25">
      <c r="C9">
        <v>2</v>
      </c>
      <c r="D9" s="16">
        <v>2.6781999999999999</v>
      </c>
      <c r="E9">
        <v>2.6777000000000002</v>
      </c>
      <c r="F9">
        <v>2.6739999999999999</v>
      </c>
      <c r="J9">
        <f>AVEDEV(D8:D10)</f>
        <v>4.1866666666666642E-2</v>
      </c>
      <c r="K9">
        <f t="shared" ref="K9" si="7">AVEDEV(E8:E10)</f>
        <v>4.1933333333333302E-2</v>
      </c>
      <c r="L9">
        <f t="shared" ref="L9" si="8">AVEDEV(F8:F10)</f>
        <v>4.1866666666666497E-2</v>
      </c>
    </row>
    <row r="10" spans="1:16" x14ac:dyDescent="0.25">
      <c r="C10">
        <v>3</v>
      </c>
      <c r="D10" s="16">
        <v>2.5937000000000001</v>
      </c>
      <c r="E10">
        <v>2.5929000000000002</v>
      </c>
      <c r="F10">
        <v>2.5893000000000002</v>
      </c>
    </row>
    <row r="11" spans="1:16" x14ac:dyDescent="0.25">
      <c r="B11" t="s">
        <v>5</v>
      </c>
      <c r="C11">
        <v>1</v>
      </c>
      <c r="D11" s="16">
        <v>2.5983000000000001</v>
      </c>
      <c r="E11">
        <v>2.5977999999999999</v>
      </c>
      <c r="F11">
        <v>2.5941999999999998</v>
      </c>
      <c r="I11" t="s">
        <v>5</v>
      </c>
      <c r="J11">
        <f>AVERAGE(D11:D13)</f>
        <v>2.5868000000000002</v>
      </c>
      <c r="K11">
        <f t="shared" ref="K11" si="9">AVERAGE(E11:E13)</f>
        <v>2.5865333333333336</v>
      </c>
      <c r="L11">
        <f t="shared" ref="L11" si="10">AVERAGE(F11:F13)</f>
        <v>2.5827666666666667</v>
      </c>
      <c r="M11">
        <f t="shared" si="2"/>
        <v>-2.666666666666373E-4</v>
      </c>
      <c r="N11">
        <f>K11-L11</f>
        <v>3.766666666666918E-3</v>
      </c>
      <c r="O11">
        <f>M11/$B$21*1000</f>
        <v>-1.3333333333331865E-2</v>
      </c>
      <c r="P11">
        <f>N11/$B$21*1000</f>
        <v>0.1883333333333459</v>
      </c>
    </row>
    <row r="12" spans="1:16" x14ac:dyDescent="0.25">
      <c r="C12">
        <v>2</v>
      </c>
      <c r="D12" s="16">
        <v>2.5928</v>
      </c>
      <c r="E12">
        <v>2.5926999999999998</v>
      </c>
      <c r="F12">
        <v>2.5889000000000002</v>
      </c>
      <c r="J12">
        <f>AVEDEV(D11:D13)</f>
        <v>1.1666666666666567E-2</v>
      </c>
      <c r="K12">
        <f t="shared" ref="K12" si="11">AVEDEV(E11:E13)</f>
        <v>1.1622222222221978E-2</v>
      </c>
      <c r="L12">
        <f t="shared" ref="L12" si="12">AVEDEV(F11:F13)</f>
        <v>1.1711111111111153E-2</v>
      </c>
    </row>
    <row r="13" spans="1:16" x14ac:dyDescent="0.25">
      <c r="C13">
        <v>3</v>
      </c>
      <c r="D13" s="16">
        <v>2.5693000000000001</v>
      </c>
      <c r="E13">
        <v>2.5691000000000002</v>
      </c>
      <c r="F13">
        <v>2.5651999999999999</v>
      </c>
    </row>
    <row r="14" spans="1:16" x14ac:dyDescent="0.25">
      <c r="B14" t="s">
        <v>6</v>
      </c>
      <c r="C14">
        <v>1</v>
      </c>
      <c r="D14" s="16">
        <v>2.6006</v>
      </c>
      <c r="E14">
        <v>2.6000999999999999</v>
      </c>
      <c r="F14">
        <v>2.5969000000000002</v>
      </c>
      <c r="I14" t="s">
        <v>6</v>
      </c>
      <c r="J14">
        <f>AVERAGE(D14:D16)</f>
        <v>2.6080000000000001</v>
      </c>
      <c r="K14">
        <f t="shared" ref="K14" si="13">AVERAGE(E14:E16)</f>
        <v>2.6075999999999997</v>
      </c>
      <c r="L14">
        <f t="shared" ref="L14" si="14">AVERAGE(F14:F16)</f>
        <v>2.6041333333333334</v>
      </c>
      <c r="M14">
        <f t="shared" si="2"/>
        <v>-4.0000000000040004E-4</v>
      </c>
      <c r="N14">
        <f>K14-L14</f>
        <v>3.4666666666662849E-3</v>
      </c>
      <c r="O14">
        <f>M14/$B$21*1000</f>
        <v>-2.0000000000020002E-2</v>
      </c>
      <c r="P14">
        <f>N14/$B$21*1000</f>
        <v>0.17333333333331424</v>
      </c>
    </row>
    <row r="15" spans="1:16" x14ac:dyDescent="0.25">
      <c r="C15">
        <v>2</v>
      </c>
      <c r="D15" s="16">
        <v>2.6177000000000001</v>
      </c>
      <c r="E15">
        <v>2.6173000000000002</v>
      </c>
      <c r="F15">
        <v>2.6137000000000001</v>
      </c>
      <c r="J15">
        <f>AVEDEV(D14:D16)</f>
        <v>6.4666666666666943E-3</v>
      </c>
      <c r="K15">
        <f t="shared" ref="K15" si="15">AVEDEV(E14:E16)</f>
        <v>6.4666666666666943E-3</v>
      </c>
      <c r="L15">
        <f t="shared" ref="L15" si="16">AVEDEV(F14:F16)</f>
        <v>6.3777777777778155E-3</v>
      </c>
    </row>
    <row r="16" spans="1:16" x14ac:dyDescent="0.25">
      <c r="C16">
        <v>3</v>
      </c>
      <c r="D16" s="16">
        <v>2.6057000000000001</v>
      </c>
      <c r="E16">
        <v>2.6053999999999999</v>
      </c>
      <c r="F16">
        <v>2.6017999999999999</v>
      </c>
    </row>
    <row r="17" spans="1:20" x14ac:dyDescent="0.25">
      <c r="B17" t="s">
        <v>7</v>
      </c>
      <c r="C17">
        <v>1</v>
      </c>
      <c r="D17" s="16">
        <v>2.6991000000000001</v>
      </c>
      <c r="E17">
        <v>2.6987000000000001</v>
      </c>
      <c r="F17">
        <v>2.6949999999999998</v>
      </c>
      <c r="I17" t="s">
        <v>7</v>
      </c>
      <c r="J17">
        <f>AVERAGE(D17:D19)</f>
        <v>2.6492</v>
      </c>
      <c r="K17">
        <f t="shared" ref="K17" si="17">AVERAGE(E17:E19)</f>
        <v>2.6486333333333332</v>
      </c>
      <c r="L17">
        <f t="shared" ref="L17" si="18">AVERAGE(F17:F19)</f>
        <v>2.6448333333333331</v>
      </c>
      <c r="M17">
        <f t="shared" si="2"/>
        <v>-5.666666666668263E-4</v>
      </c>
      <c r="N17">
        <f>K17-L17</f>
        <v>3.8000000000000256E-3</v>
      </c>
      <c r="O17">
        <f>M17/$B$21*1000</f>
        <v>-2.8333333333341315E-2</v>
      </c>
      <c r="P17">
        <f>N17/$B$21*1000</f>
        <v>0.19000000000000128</v>
      </c>
    </row>
    <row r="18" spans="1:20" x14ac:dyDescent="0.25">
      <c r="C18">
        <v>2</v>
      </c>
      <c r="D18" s="16">
        <v>2.6793</v>
      </c>
      <c r="E18">
        <v>2.6783999999999999</v>
      </c>
      <c r="F18">
        <v>2.6745999999999999</v>
      </c>
      <c r="J18">
        <f>AVEDEV(D17:D19)</f>
        <v>5.3333333333333378E-2</v>
      </c>
      <c r="K18">
        <f t="shared" ref="K18" si="19">AVEDEV(E17:E19)</f>
        <v>5.3222222222222282E-2</v>
      </c>
      <c r="L18">
        <f t="shared" ref="L18" si="20">AVEDEV(F17:F19)</f>
        <v>5.3288888888888795E-2</v>
      </c>
    </row>
    <row r="19" spans="1:20" x14ac:dyDescent="0.25">
      <c r="C19">
        <v>3</v>
      </c>
      <c r="D19" s="16">
        <v>2.5691999999999999</v>
      </c>
      <c r="E19">
        <v>2.5688</v>
      </c>
      <c r="F19">
        <v>2.5649000000000002</v>
      </c>
      <c r="N19">
        <f>AVERAGE(N11:N17)/20*1000</f>
        <v>0.18388888888888713</v>
      </c>
      <c r="O19" t="s">
        <v>14</v>
      </c>
    </row>
    <row r="20" spans="1:20" x14ac:dyDescent="0.25">
      <c r="N20">
        <f>M37-N19</f>
        <v>3.8888888888872208E-3</v>
      </c>
    </row>
    <row r="21" spans="1:20" x14ac:dyDescent="0.25">
      <c r="A21" t="s">
        <v>40</v>
      </c>
      <c r="B21">
        <v>20</v>
      </c>
      <c r="C21" t="s">
        <v>24</v>
      </c>
    </row>
    <row r="23" spans="1:20" x14ac:dyDescent="0.25">
      <c r="A23" s="16"/>
      <c r="B23" t="s">
        <v>62</v>
      </c>
    </row>
    <row r="26" spans="1:20" x14ac:dyDescent="0.25">
      <c r="A26" s="16" t="s">
        <v>23</v>
      </c>
      <c r="B26" s="16" t="s">
        <v>40</v>
      </c>
      <c r="C26" s="16" t="s">
        <v>12</v>
      </c>
      <c r="D26" s="16">
        <v>105</v>
      </c>
      <c r="E26" s="16">
        <v>550</v>
      </c>
      <c r="F26" s="16" t="s">
        <v>15</v>
      </c>
      <c r="G26" s="16" t="s">
        <v>16</v>
      </c>
      <c r="O26" s="12" t="s">
        <v>47</v>
      </c>
      <c r="P26" s="12" t="s">
        <v>59</v>
      </c>
      <c r="Q26" s="12" t="s">
        <v>71</v>
      </c>
      <c r="R26" s="12"/>
      <c r="S26" s="12" t="s">
        <v>69</v>
      </c>
      <c r="T26" s="12" t="s">
        <v>70</v>
      </c>
    </row>
    <row r="27" spans="1:20" x14ac:dyDescent="0.25">
      <c r="A27" t="s">
        <v>66</v>
      </c>
      <c r="B27">
        <f>4.9</f>
        <v>4.9000000000000004</v>
      </c>
      <c r="C27">
        <v>2.5611999999999999</v>
      </c>
      <c r="D27">
        <v>2.5644999999999998</v>
      </c>
      <c r="E27">
        <v>2.5592999999999999</v>
      </c>
      <c r="F27">
        <f>D27-C27</f>
        <v>3.2999999999998586E-3</v>
      </c>
      <c r="G27">
        <f>D27-E27</f>
        <v>5.1999999999998714E-3</v>
      </c>
      <c r="H27" s="16" t="s">
        <v>13</v>
      </c>
      <c r="I27">
        <f>(F31)/B31 *1000</f>
        <v>0.53146853146850392</v>
      </c>
      <c r="J27" t="s">
        <v>14</v>
      </c>
      <c r="K27" t="s">
        <v>63</v>
      </c>
      <c r="M27">
        <f xml:space="preserve"> 0.02 * I28 / 0.12</f>
        <v>0.18881118881118872</v>
      </c>
      <c r="N27" t="s">
        <v>14</v>
      </c>
      <c r="O27" t="s">
        <v>2</v>
      </c>
      <c r="P27" s="20">
        <f>P2-M$27</f>
        <v>-2.1445221445426099E-3</v>
      </c>
      <c r="Q27" s="20">
        <f t="shared" ref="Q27:Q32" si="21">P27*0.12</f>
        <v>-2.5734265734511316E-4</v>
      </c>
    </row>
    <row r="28" spans="1:20" x14ac:dyDescent="0.25">
      <c r="B28">
        <v>4.8</v>
      </c>
      <c r="C28">
        <v>2.6507000000000001</v>
      </c>
      <c r="D28">
        <v>2.6536</v>
      </c>
      <c r="E28">
        <v>2.6478999999999999</v>
      </c>
      <c r="F28">
        <f>D28-C28</f>
        <v>2.8999999999999027E-3</v>
      </c>
      <c r="G28">
        <f t="shared" ref="G28:G29" si="22">D28-E28</f>
        <v>5.7000000000000384E-3</v>
      </c>
      <c r="H28" s="16" t="s">
        <v>11</v>
      </c>
      <c r="I28">
        <f>(G31)/B31*1000</f>
        <v>1.1328671328671323</v>
      </c>
      <c r="J28" t="s">
        <v>14</v>
      </c>
      <c r="O28" t="s">
        <v>3</v>
      </c>
      <c r="P28" s="20">
        <f>P5-M$27</f>
        <v>-1.8811188811185237E-2</v>
      </c>
      <c r="Q28" s="20">
        <f t="shared" si="21"/>
        <v>-2.2573426573422282E-3</v>
      </c>
    </row>
    <row r="29" spans="1:20" x14ac:dyDescent="0.25">
      <c r="B29">
        <v>4.5999999999999996</v>
      </c>
      <c r="C29">
        <v>2.6415000000000002</v>
      </c>
      <c r="D29">
        <v>2.6429</v>
      </c>
      <c r="E29">
        <v>2.6375999999999999</v>
      </c>
      <c r="F29">
        <f>D29-C29</f>
        <v>1.3999999999998458E-3</v>
      </c>
      <c r="G29">
        <f t="shared" si="22"/>
        <v>5.3000000000000824E-3</v>
      </c>
      <c r="O29" t="s">
        <v>4</v>
      </c>
      <c r="P29" s="20">
        <f>P8-M$27</f>
        <v>-3.8111888111979908E-3</v>
      </c>
      <c r="Q29" s="20">
        <f t="shared" si="21"/>
        <v>-4.5734265734375887E-4</v>
      </c>
      <c r="S29" s="20">
        <f xml:space="preserve"> AVERAGE(P27:P29)</f>
        <v>-8.2556332556419452E-3</v>
      </c>
      <c r="T29">
        <f>AVEDEV(P27:P29)</f>
        <v>7.0370370370288595E-3</v>
      </c>
    </row>
    <row r="30" spans="1:20" x14ac:dyDescent="0.25">
      <c r="O30" t="s">
        <v>5</v>
      </c>
      <c r="P30" s="20">
        <f>P11-M$27</f>
        <v>-4.7785547784282012E-4</v>
      </c>
      <c r="Q30" s="20">
        <f t="shared" si="21"/>
        <v>-5.7342657341138411E-5</v>
      </c>
    </row>
    <row r="31" spans="1:20" x14ac:dyDescent="0.25">
      <c r="A31" t="s">
        <v>67</v>
      </c>
      <c r="B31">
        <f t="shared" ref="B31:G31" si="23">AVERAGE(B27:B29)</f>
        <v>4.7666666666666666</v>
      </c>
      <c r="C31">
        <f t="shared" si="23"/>
        <v>2.6178000000000003</v>
      </c>
      <c r="D31">
        <f t="shared" si="23"/>
        <v>2.6203333333333334</v>
      </c>
      <c r="E31">
        <f t="shared" si="23"/>
        <v>2.6149333333333336</v>
      </c>
      <c r="F31">
        <f t="shared" si="23"/>
        <v>2.5333333333332022E-3</v>
      </c>
      <c r="G31">
        <f t="shared" si="23"/>
        <v>5.3999999999999977E-3</v>
      </c>
      <c r="O31" t="s">
        <v>6</v>
      </c>
      <c r="P31" s="20">
        <f>P14-M$27</f>
        <v>-1.5477855477874475E-2</v>
      </c>
      <c r="Q31" s="20">
        <f t="shared" si="21"/>
        <v>-1.8573426573449368E-3</v>
      </c>
    </row>
    <row r="32" spans="1:20" x14ac:dyDescent="0.25">
      <c r="A32" t="s">
        <v>68</v>
      </c>
      <c r="B32">
        <f t="shared" ref="B32:G32" si="24">AVEDEV(B27:B29)</f>
        <v>0.11111111111111131</v>
      </c>
      <c r="C32">
        <f t="shared" si="24"/>
        <v>3.773333333333332E-2</v>
      </c>
      <c r="D32">
        <f t="shared" si="24"/>
        <v>3.7222222222222268E-2</v>
      </c>
      <c r="E32">
        <f t="shared" si="24"/>
        <v>3.7088888888888803E-2</v>
      </c>
      <c r="F32">
        <f t="shared" si="24"/>
        <v>7.5555555555557104E-4</v>
      </c>
      <c r="G32">
        <f t="shared" si="24"/>
        <v>2.0000000000002741E-4</v>
      </c>
      <c r="O32" t="s">
        <v>7</v>
      </c>
      <c r="P32" s="20">
        <f>P17-M$27</f>
        <v>1.1888111888125608E-3</v>
      </c>
      <c r="Q32" s="20">
        <f t="shared" si="21"/>
        <v>1.4265734265750729E-4</v>
      </c>
      <c r="S32" s="20">
        <f xml:space="preserve"> AVERAGE(P30:P32)</f>
        <v>-4.9222999223015778E-3</v>
      </c>
      <c r="T32">
        <f>AVEDEV(P30:P32)</f>
        <v>7.0370370370485972E-3</v>
      </c>
    </row>
    <row r="33" spans="1:20" x14ac:dyDescent="0.25">
      <c r="P33" s="20"/>
      <c r="Q33" s="20"/>
    </row>
    <row r="34" spans="1:20" x14ac:dyDescent="0.25">
      <c r="A34" s="16" t="s">
        <v>60</v>
      </c>
    </row>
    <row r="36" spans="1:20" x14ac:dyDescent="0.25">
      <c r="A36" s="12" t="s">
        <v>61</v>
      </c>
      <c r="B36" s="12" t="s">
        <v>40</v>
      </c>
      <c r="C36" s="12" t="s">
        <v>12</v>
      </c>
      <c r="D36" s="12">
        <v>105</v>
      </c>
      <c r="E36" s="12">
        <v>550</v>
      </c>
      <c r="F36" s="12" t="s">
        <v>86</v>
      </c>
      <c r="G36" s="12" t="s">
        <v>87</v>
      </c>
      <c r="O36" s="12" t="s">
        <v>47</v>
      </c>
      <c r="P36" s="12" t="s">
        <v>59</v>
      </c>
      <c r="Q36" s="12" t="s">
        <v>71</v>
      </c>
      <c r="R36" s="12"/>
      <c r="S36" s="12" t="s">
        <v>92</v>
      </c>
      <c r="T36" s="12" t="s">
        <v>93</v>
      </c>
    </row>
    <row r="37" spans="1:20" x14ac:dyDescent="0.25">
      <c r="B37">
        <v>5</v>
      </c>
      <c r="C37">
        <v>2.6301000000000001</v>
      </c>
      <c r="D37">
        <v>2.6261000000000001</v>
      </c>
      <c r="E37">
        <v>2.6204999999999998</v>
      </c>
      <c r="F37">
        <f>D37-C37</f>
        <v>-4.0000000000000036E-3</v>
      </c>
      <c r="G37">
        <f>D37-E37</f>
        <v>5.6000000000002714E-3</v>
      </c>
      <c r="H37" s="12" t="s">
        <v>13</v>
      </c>
      <c r="I37">
        <f>F41/(B41/1000)</f>
        <v>-0.37333333333335139</v>
      </c>
      <c r="J37" t="s">
        <v>14</v>
      </c>
      <c r="K37" t="s">
        <v>63</v>
      </c>
      <c r="M37">
        <f xml:space="preserve"> (0.02 * I38) / 0.12</f>
        <v>0.18777777777777435</v>
      </c>
      <c r="N37" t="s">
        <v>14</v>
      </c>
      <c r="O37" t="s">
        <v>2</v>
      </c>
      <c r="P37" s="20">
        <f>P2-M$37</f>
        <v>-1.1111111111282435E-3</v>
      </c>
      <c r="Q37" s="20">
        <f t="shared" ref="Q37:Q42" si="25">P37*0.12</f>
        <v>-1.333333333353892E-4</v>
      </c>
    </row>
    <row r="38" spans="1:20" x14ac:dyDescent="0.25">
      <c r="B38">
        <v>5</v>
      </c>
      <c r="C38">
        <v>2.6505000000000001</v>
      </c>
      <c r="D38">
        <v>2.6448999999999998</v>
      </c>
      <c r="E38">
        <v>2.6398000000000001</v>
      </c>
      <c r="F38">
        <f>D38-C38</f>
        <v>-5.6000000000002714E-3</v>
      </c>
      <c r="G38">
        <f t="shared" ref="G38" si="26">D38-E38</f>
        <v>5.0999999999996604E-3</v>
      </c>
      <c r="H38" s="12" t="s">
        <v>11</v>
      </c>
      <c r="I38">
        <f>G41/(B41/1000)</f>
        <v>1.1266666666666461</v>
      </c>
      <c r="J38" t="s">
        <v>14</v>
      </c>
      <c r="O38" t="s">
        <v>3</v>
      </c>
      <c r="P38" s="20"/>
      <c r="Q38" s="20">
        <f t="shared" si="25"/>
        <v>0</v>
      </c>
    </row>
    <row r="39" spans="1:20" x14ac:dyDescent="0.25">
      <c r="B39">
        <v>5</v>
      </c>
      <c r="C39">
        <v>2.6374</v>
      </c>
      <c r="D39">
        <v>2.6414</v>
      </c>
      <c r="E39">
        <v>2.6352000000000002</v>
      </c>
      <c r="F39">
        <f>D39-C39</f>
        <v>4.0000000000000036E-3</v>
      </c>
      <c r="G39">
        <f>D39-E39</f>
        <v>6.1999999999997613E-3</v>
      </c>
      <c r="O39" t="s">
        <v>4</v>
      </c>
      <c r="P39" s="20">
        <f>P8-M$37</f>
        <v>-2.7777777777836243E-3</v>
      </c>
      <c r="Q39" s="20">
        <f t="shared" si="25"/>
        <v>-3.3333333333403491E-4</v>
      </c>
      <c r="S39" s="20">
        <f xml:space="preserve"> AVERAGE(P37:P39)*1000</f>
        <v>-1.9444444444559339</v>
      </c>
      <c r="T39" s="20">
        <f>AVEDEV(P37:P39)*1000</f>
        <v>0.83333333332769044</v>
      </c>
    </row>
    <row r="40" spans="1:20" x14ac:dyDescent="0.25">
      <c r="O40" t="s">
        <v>5</v>
      </c>
      <c r="P40" s="20">
        <f>P11-M$37</f>
        <v>5.5555555557154634E-4</v>
      </c>
      <c r="Q40" s="20">
        <f t="shared" si="25"/>
        <v>6.6666666668585559E-5</v>
      </c>
      <c r="S40" s="20"/>
      <c r="T40" s="20"/>
    </row>
    <row r="41" spans="1:20" x14ac:dyDescent="0.25">
      <c r="A41" t="s">
        <v>65</v>
      </c>
      <c r="B41">
        <f t="shared" ref="B41:G41" si="27">AVERAGE(B37:B39)</f>
        <v>5</v>
      </c>
      <c r="C41">
        <f t="shared" si="27"/>
        <v>2.6393333333333331</v>
      </c>
      <c r="D41">
        <f t="shared" si="27"/>
        <v>2.6374666666666666</v>
      </c>
      <c r="E41">
        <f t="shared" si="27"/>
        <v>2.6318333333333332</v>
      </c>
      <c r="F41">
        <f t="shared" si="27"/>
        <v>-1.8666666666667571E-3</v>
      </c>
      <c r="G41">
        <f t="shared" si="27"/>
        <v>5.6333333333332307E-3</v>
      </c>
      <c r="O41" t="s">
        <v>6</v>
      </c>
      <c r="P41" s="20"/>
      <c r="Q41" s="20">
        <f>P41*0.12</f>
        <v>0</v>
      </c>
      <c r="S41" s="20"/>
      <c r="T41" s="20"/>
    </row>
    <row r="42" spans="1:20" x14ac:dyDescent="0.25">
      <c r="A42" t="s">
        <v>64</v>
      </c>
      <c r="B42">
        <f t="shared" ref="B42:G42" si="28">AVEDEV(B37:B39)</f>
        <v>0</v>
      </c>
      <c r="C42">
        <f t="shared" si="28"/>
        <v>7.4444444444443647E-3</v>
      </c>
      <c r="D42">
        <f t="shared" si="28"/>
        <v>7.5777777777776834E-3</v>
      </c>
      <c r="E42">
        <f t="shared" si="28"/>
        <v>7.5555555555557596E-3</v>
      </c>
      <c r="F42">
        <f t="shared" si="28"/>
        <v>3.9111111111111742E-3</v>
      </c>
      <c r="G42">
        <f t="shared" si="28"/>
        <v>3.7777777777768675E-4</v>
      </c>
      <c r="O42" t="s">
        <v>7</v>
      </c>
      <c r="P42" s="20">
        <f>P17-M$37</f>
        <v>2.2222222222269272E-3</v>
      </c>
      <c r="Q42" s="20">
        <f t="shared" si="25"/>
        <v>2.6666666666723128E-4</v>
      </c>
      <c r="S42" s="20">
        <f xml:space="preserve"> AVERAGE(P40:P42)*1000</f>
        <v>1.3888888888992368</v>
      </c>
      <c r="T42" s="20">
        <f>AVEDEV(P40:P42)*1000</f>
        <v>0.83333333332769044</v>
      </c>
    </row>
    <row r="45" spans="1:20" x14ac:dyDescent="0.25">
      <c r="O45">
        <f>(LN(M37*0.12)-LN(N19*0.12))/(5.73-2.64)</f>
        <v>6.7726602284618499E-3</v>
      </c>
      <c r="P45" s="12" t="s">
        <v>88</v>
      </c>
    </row>
    <row r="46" spans="1:20" x14ac:dyDescent="0.25">
      <c r="O46">
        <f>O45/8*100</f>
        <v>8.4658252855773122E-2</v>
      </c>
      <c r="P46" t="s">
        <v>91</v>
      </c>
    </row>
    <row r="47" spans="1:20" x14ac:dyDescent="0.25">
      <c r="O47">
        <f>1/O46</f>
        <v>11.812197467666104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</vt:lpstr>
      <vt:lpstr>Gas composition</vt:lpstr>
      <vt:lpstr>COD</vt:lpstr>
      <vt:lpstr>TSSVSS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 Nikolaevich Myshkin</dc:creator>
  <cp:lastModifiedBy>Lev Nikolaevich Myshkin</cp:lastModifiedBy>
  <dcterms:created xsi:type="dcterms:W3CDTF">2015-06-05T18:19:34Z</dcterms:created>
  <dcterms:modified xsi:type="dcterms:W3CDTF">2022-07-12T19:07:54Z</dcterms:modified>
</cp:coreProperties>
</file>