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Board. " sheetId="1" r:id="rId1"/>
  </sheets>
  <definedNames>
    <definedName name="arrow_part_data">'customBoard. '!$J$5:$N$48</definedName>
    <definedName name="BoardQty">'customBoard. '!$I$1</definedName>
    <definedName name="digikey_part_data">'customBoard. '!$O$5:$S$48</definedName>
    <definedName name="farnell_part_data">'customBoard. '!$T$5:$X$48</definedName>
    <definedName name="global_part_data">'customBoard. '!$A$5:$I$48</definedName>
    <definedName name="lcsc_part_data">'customBoard. '!$Y$5:$AC$48</definedName>
    <definedName name="mouser_part_data">'customBoard. '!$AD$5:$AH$48</definedName>
    <definedName name="newark_part_data">'customBoard. '!$AI$5:$AM$48</definedName>
    <definedName name="PURCHASE_DESCRIPTION">'customBoard. '!$I$51</definedName>
    <definedName name="rs_part_data">'customBoard. '!$AN$5:$AR$48</definedName>
    <definedName name="tme_part_data">'customBoard. '!$AS$5:$AW$48</definedName>
    <definedName name="TotalCost">'customBoard. '!$I$3</definedName>
    <definedName name="USD_GBP">'customBoard. '!$C$51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H3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N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S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X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C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H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M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R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W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Description of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E6" authorId="0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G6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H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I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J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K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L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M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N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O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P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Q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R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S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T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U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V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W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X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Y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Z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A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B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C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D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E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F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G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H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I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J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K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L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M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N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O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P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Q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R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S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T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U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V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W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O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Q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$0.17      $0.17
    10   $0.14      $1.36
   100   $0.10     $10.02
   500   $0.08     $41.44
  1000   $0.07     $72.52
  5000   $0.06    $310.80
 10000   $0.06    $604.40</t>
        </r>
      </text>
    </comment>
    <comment ref="V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100   £0.10      £9.84
  1000   £0.07     £71.30
  2500   £0.07    £165.75
  5000   £0.06    £306.00</t>
        </r>
      </text>
    </comment>
    <comment ref="AA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20   $0.18      $3.57
   200   $0.13     $26.63
   600   $0.12     $74.92
  2000   $0.12    $233.12
 10000   $0.11  $1,128.70
 20000   $0.11  $2,221.00</t>
        </r>
      </text>
    </comment>
    <comment ref="AK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$0.25      $0.25
    10   $0.23      $2.30
   100   $0.17     $16.60
   500   $0.14     $70.00
  1000   $0.12    $117.00
  5000   $0.10    $505.00</t>
        </r>
      </text>
    </comment>
    <comment ref="AP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125   £0.12     £15.50
   500   £0.12     £58.00
  1250   £0.11    £137.50
  2500   £0.10    £260.00</t>
        </r>
      </text>
    </comment>
    <comment ref="Q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$0.23      $0.23
    10   $0.16      $1.57
    50   $0.09      $4.71
   100   $0.08      $7.95
   500   $0.05     $27.19
  1000   $0.05     $48.11
  2000   $0.05     $92.04</t>
        </r>
      </text>
    </comment>
    <comment ref="AA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$0.23      $2.27
   100   $0.17     $16.74
   300   $0.16     $46.92
  1000   $0.15    $145.37
  5000   $0.14    $702.40
 10000   $0.14  $1,380.60</t>
        </r>
      </text>
    </comment>
    <comment ref="AF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$0.23      $0.23
    10   $0.12      $1.17
    50   $0.12      $5.85
   100   $0.08      $8.40
  1000   $0.05     $53.00
 10000   $0.05    $460.00</t>
        </r>
      </text>
    </comment>
    <comment ref="Q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$0.23      $0.23
    10   $0.16      $1.59
    50   $0.10      $4.78
   100   $0.08      $8.08
   500   $0.06     $27.63
  1000   $0.05     $48.88
  2000   $0.05     $93.52</t>
        </r>
      </text>
    </comment>
    <comment ref="AF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$0.23      $0.23
    10   $0.10      $0.96
    50   $0.10      $4.80
   100   $0.08      $8.10
  1000   $0.05     $49.00
 10000   $0.04    $410.00</t>
        </r>
      </text>
    </comment>
    <comment ref="Q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4000   $0.03    $116.96</t>
        </r>
      </text>
    </comment>
    <comment ref="Q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$0.12      $0.12
    10   $0.09      $0.87
    50   $0.05      $2.48
   100   $0.04      $4.10
   500   $0.03     $14.38
  1000   $0.02     $23.81
  4000   $0.02     $81.12</t>
        </r>
      </text>
    </comment>
    <comment ref="AF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$0.12      $0.12
    10   $0.09      $0.89
    50   $0.09      $4.45
   100   $0.04      $4.20
  1000   $0.02     $25.00
 10000   $0.02    $170.00</t>
        </r>
      </text>
    </comment>
    <comment ref="Q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$0.20      $0.20
    10   $0.14      $1.43
    50   $0.08      $4.06
   100   $0.07      $6.73
   500   $0.05     $23.59
  1000   $0.04     $39.06
  2000   $0.04     $72.70</t>
        </r>
      </text>
    </comment>
    <comment ref="AA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$0.31      $3.06
   100   $0.24     $23.63
   300   $0.22     $67.04
  1000   $0.21    $210.60
  5000   $0.20  $1,024.40
 10000   $0.20  $2,020.60</t>
        </r>
      </text>
    </comment>
    <comment ref="AF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$0.20      $0.20
    10   $0.10      $0.98
    50   $0.10      $4.90
   100   $0.07      $7.10
  1000   $0.04     $41.00
 10000   $0.03    $300.00</t>
        </r>
      </text>
    </comment>
    <comment ref="AP1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2000   £0.03     £56.00
  6000   £0.02    £126.00
 10000   £0.02    £200.00
 20000   £0.02    £400.00
 50000   £0.02    £950.00</t>
        </r>
      </text>
    </comment>
    <comment ref="AU1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£0.04      £4.45
   300   £0.03      £9.74
  1000   £0.02     £23.89
  2000   £0.02     £38.12
  6000   £0.02    £110.76</t>
        </r>
      </text>
    </comment>
    <comment ref="Q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$0.98      $0.98
    10   $0.74      $7.44
    50   $0.62     $30.89
  2000   $0.38    $763.06</t>
        </r>
      </text>
    </comment>
    <comment ref="AD1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F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$0.98      $0.98
    10   $0.62      $6.18
    50   $0.62     $30.90
   100   $0.53     $53.20
  1000   $0.38    $382.00
 10000   $0.35  $3,460.00</t>
        </r>
      </text>
    </comment>
    <comment ref="AP1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£0.68      £3.42
    50   £0.22     £10.80
   250   £0.17     £42.00
  2000   £0.26    £528.00</t>
        </r>
      </text>
    </comment>
    <comment ref="Q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$0.20      $0.20
    50   $0.18      $9.05
   100   $0.18     $17.50
   500   $0.14     $69.50
  2000   $0.14    $278.00</t>
        </r>
      </text>
    </comment>
    <comment ref="T1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V1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£0.17      £0.84
    25   £0.15      £3.72
   100   £0.13     £13.10
   150   £0.13     £19.65
   250   £0.13     £32.00
   500   £0.10     £49.95
  1000   £0.10     £98.00</t>
        </r>
      </text>
    </comment>
    <comment ref="AF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$0.20      $0.20
    10   $0.20      $2.00
    50   $0.18      $9.05
   100   $0.18     $17.50
  1000   $0.16    $156.00
 10000   $0.16  $1,560.00</t>
        </r>
      </text>
    </comment>
    <comment ref="AP1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50   £0.15      £7.60
   250   £0.13     £32.25
   500   £0.10     £50.00
  1250   £0.10    £121.25
  2000   £0.13    £262.00
  2500   £0.10    £237.50</t>
        </r>
      </text>
    </comment>
    <comment ref="Q1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$0.22      $0.22
    50   $0.20     $10.25
   100   $0.18     $17.70
   500   $0.15     $76.50
  4000   $0.15    $612.00</t>
        </r>
      </text>
    </comment>
    <comment ref="V1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£0.20      £0.98
    10   £0.17      £1.71
   100   £0.14     £14.00
   150   £0.14     £21.00
   500   £0.12     £60.50
  1000   £0.12    £119.00</t>
        </r>
      </text>
    </comment>
    <comment ref="AF1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$0.22      $0.22
    10   $0.22      $2.20
    50   $0.20     $10.25
   100   $0.18     $17.70
  1000   $0.16    $156.00
 10000   $0.16  $1,560.00</t>
        </r>
      </text>
    </comment>
    <comment ref="AK1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5   $0.26      $1.31
    10   $0.25      $2.50
    25   $0.24      $6.10
    50   $0.24     $11.80
   100   $0.20     $20.50
   500   $0.18     $89.50</t>
        </r>
      </text>
    </comment>
    <comment ref="AP1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50   £0.17      £8.65
   500   £0.12     £61.00
   750   £0.12     £87.00
  1500   £0.11    £168.00
  3000   £0.11    £318.00
  4000   £0.13    £524.00</t>
        </r>
      </text>
    </comment>
    <comment ref="Q1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$0.22      $0.22
    50   $0.20     $10.25
   100   $0.18     $17.70
   500   $0.15     $76.50
  4000   $0.15    $612.00</t>
        </r>
      </text>
    </comment>
    <comment ref="V16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£0.20      £0.98
    10   £0.17      £1.71
   100   £0.14     £14.00
   150   £0.14     £21.00
   500   £0.12     £60.50
  1000   £0.12    £119.00</t>
        </r>
      </text>
    </comment>
    <comment ref="AF1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$0.22      $0.22
    10   $0.22      $2.20
    50   $0.20     $10.25
   100   $0.18     $17.70
  1000   $0.16    $156.00
 10000   $0.16  $1,560.00</t>
        </r>
      </text>
    </comment>
    <comment ref="AK1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5   $0.26      $1.31
    10   $0.26      $2.57
    25   $0.26      $6.38
    50   $0.25     $12.65
   100   $0.22     $22.20
   500   $0.20     $98.00
  1000   $0.20    $196.00
  2500   $0.20    $487.50</t>
        </r>
      </text>
    </comment>
    <comment ref="AP16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50   £0.18      £8.75
   800   £0.12     £99.20
  2000   £0.11    £226.00
  4000   £0.13    £524.00</t>
        </r>
      </text>
    </comment>
    <comment ref="Q1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$0.70      $0.70
    10   $0.61      $6.09
    25   $0.56     $13.92
    50   $0.52     $26.21
   100   $0.50     $50.23
   250   $0.46    $114.66
   500   $0.44    $218.40
  1000   $0.36    $360.36
  2000   $0.35    $698.88
  3000   $0.33    $982.80
  5000   $0.32  $1,583.40
 10000   $0.29  $2,948.40
 25000   $0.29  $7,280.00</t>
        </r>
      </text>
    </comment>
    <comment ref="V1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£0.49      £0.49
    25   £0.44     £11.08
    75   £0.41     £30.82
   200   £0.38     £76.20
   500   £0.37    £185.00
  1000   £0.36    £363.00
  5000   £0.29  £1,455.00
 10000   £0.26  £2,550.00
 20000   £0.23  £4,640.00</t>
        </r>
      </text>
    </comment>
    <comment ref="AF1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$0.65      $0.65
    10   $0.50      $5.00
    50   $0.50     $25.00
   100   $0.44     $43.70
  1000   $0.33    $332.00
 10000   $0.28  $2,800.00</t>
        </r>
      </text>
    </comment>
    <comment ref="AK1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$0.70      $0.70
    10   $0.66      $6.56
    25   $0.59     $14.80
    50   $0.53     $26.50
   100   $0.51     $50.90
   250   $0.47    $116.75
   500   $0.45    $223.00
  1000   $0.85    $847.00
  2000   $0.65  $1,302.00
  3000   $0.59  $1,758.00
  5000   $0.53  $2,670.00
 10000   $0.49  $4,890.00</t>
        </r>
      </text>
    </comment>
    <comment ref="Q1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$0.06      $0.06
    10   $0.06      $0.56
    25   $0.04      $1.04
    50   $0.04      $1.78
   100   $0.03      $3.45
   250   $0.03      $7.43
   500   $0.03     $14.26</t>
        </r>
      </text>
    </comment>
    <comment ref="Q1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$0.91      $0.91
    10   $0.77      $7.72
    25   $0.74     $18.51
    40   $0.72     $28.98
    80   $0.69     $55.44
   230   $0.63    $144.90
   440   $0.57    $249.48
   945   $0.50    $476.28
  2400   $0.46  $1,096.20</t>
        </r>
      </text>
    </comment>
    <comment ref="AI1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K1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$0.02      $0.02
    10   $0.02      $0.23
    25   $0.02      $0.50
    50   $0.02      $0.85
   100   $0.02      $1.60
   250   $0.01      $3.50
   500   $0.01      $7.00
  1000   $0.01     $11.00
120000   $0.01  $1,320.00</t>
        </r>
      </text>
    </comment>
    <comment ref="Q2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$0.47      $0.47
    10   $0.41      $4.13
    25   $0.38      $9.44
    50   $0.36     $17.77
   100   $0.34     $34.05
   250   $0.31     $77.73
   500   $0.30    $148.05
  1500   $0.24    $355.32
  3000   $0.22    $666.21
  7500   $0.21  $1,610.02
 10500   $0.20  $2,098.63
 15000   $0.20  $2,961.00</t>
        </r>
      </text>
    </comment>
    <comment ref="V2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£0.48      £0.48
   250   £0.37     £92.25
   500   £0.33    £165.50
  1000   £0.30    £299.00
  5000   £0.27  £1,365.00</t>
        </r>
      </text>
    </comment>
    <comment ref="AF2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$0.45      $0.45
    10   $0.34      $3.38
    50   $0.34     $16.90
   100   $0.30     $29.60
  1000   $0.23    $226.00
 10000   $0.19  $1,870.00</t>
        </r>
      </text>
    </comment>
    <comment ref="AK2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$0.57      $0.57
   250   $0.44    $109.75
   500   $0.39    $197.00
  1000   $0.36    $356.00
  5000   $0.32  $1,625.00</t>
        </r>
      </text>
    </comment>
    <comment ref="O21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Q2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$2.41      $2.41
    10   $2.05     $20.54
   100   $1.70    $169.67
  1000   $1.34  $1,339.50
  2400   $1.45  $3,473.33
  4800   $1.37  $6,599.28</t>
        </r>
      </text>
    </comment>
    <comment ref="T21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V2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£1.78      £1.78
    60   £1.47     £88.20
   180   £1.35    £243.00
   480   £1.22    £585.60
  1200   £1.20  £1,440.00
  2400   £1.07  £2,568.00
 12000   £1.05 £12,600.00
 24000   £1.03 £24,720.00
 48000   £1.01 £48,480.00</t>
        </r>
      </text>
    </comment>
    <comment ref="AA2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$3.95      $3.95
    10   $3.04     $30.40
    30   $2.81     $84.30
   100   $2.52    $252.00
   500   $2.38  $1,190.00
  1000   $2.36  $2,360.00</t>
        </r>
      </text>
    </comment>
    <comment ref="AF2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$2.66      $2.66
    10   $2.27     $22.70
    50   $2.27    $113.50
   100   $1.88    $188.00
  1000   $1.55  $1,550.00
 10000   $1.45 $14,500.00</t>
        </r>
      </text>
    </comment>
    <comment ref="AI21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K2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$1.52      $1.52
    10   $2.32     $23.20
    25   $2.18     $54.50
    50   $2.05    $102.50
   100   $1.92    $192.00
   250   $1.85    $462.50
  2400   $1.50  $3,600.00
  4800   $1.48  $7,104.00</t>
        </r>
      </text>
    </comment>
    <comment ref="AP2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£1.60     £16.00
    20   £1.57     £31.40
    50   £1.53     £76.50
   100   £1.48    £148.00</t>
        </r>
      </text>
    </comment>
    <comment ref="AU2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£1.86      £1.86
     5   £1.51      £7.55
    20   £1.12     £22.40
   100   £0.84     £84.00</t>
        </r>
      </text>
    </comment>
    <comment ref="Q2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$3.94      $3.94
    10   $3.58     $35.80
    25   $3.39     $84.78
    40   $3.31    $132.49
    80   $3.15    $252.36
   230   $2.76    $634.86
   440   $2.68  $1,179.81
  2000   $2.21  $4,416.38
  4000   $2.13  $8,517.32</t>
        </r>
      </text>
    </comment>
    <comment ref="AD2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F2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$3.94      $3.94
    10   $3.58     $35.80
    50   $3.31    $165.50
   100   $3.15    $315.00
  1000   $2.39  $2,390.00
 10000   $2.20 $22,000.00</t>
        </r>
      </text>
    </comment>
    <comment ref="Q2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$0.52      $0.52
    10   $0.46      $4.57
    25   $0.42     $10.44
    40   $0.39     $15.72
    80   $0.38     $30.14
   230   $0.34     $79.12
   440   $0.33    $144.14
   945   $0.27    $255.41
  2400   $0.25    $589.68</t>
        </r>
      </text>
    </comment>
    <comment ref="V2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£0.42      £0.42
    10   £0.39      £3.91
    25   £0.35      £8.80
    50   £0.31     £15.65
   100   £0.30     £30.10
   250   £0.27     £68.50</t>
        </r>
      </text>
    </comment>
    <comment ref="AK2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$0.50      $0.50
    10   $0.46      $4.65
    25   $0.42     $10.48
    50   $0.37     $18.65
   100   $0.36     $35.80
   250   $0.33     $81.50</t>
        </r>
      </text>
    </comment>
    <comment ref="Q2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$0.37      $0.37
    10   $0.33      $3.26
    25   $0.28      $7.12
    50   $0.24     $12.21
   100   $0.22     $22.38
   250   $0.20     $50.88
   500   $0.19     $95.64</t>
        </r>
      </text>
    </comment>
    <comment ref="T2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V2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500   £0.17     £83.50</t>
        </r>
      </text>
    </comment>
    <comment ref="AA2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$1.33      $1.33
    10   $1.02     $10.19
    30   $0.96     $28.85
   100   $0.90     $90.48
   500   $0.88    $439.75
  1000   $0.87    $867.00</t>
        </r>
      </text>
    </comment>
    <comment ref="AF2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$0.37      $0.37
    10   $0.24      $2.45
    50   $0.24     $12.25
   100   $0.20     $20.40
  1000   $0.18    $178.00
 10000   $0.18  $1,780.00</t>
        </r>
      </text>
    </comment>
    <comment ref="AI2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K2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$0.19      $0.19
    10   $0.24      $2.45
    25   $0.23      $5.78
    50   $0.22     $10.90
   100   $0.20     $20.40
   500   $0.18     $91.50
  1000   $0.18    $178.00</t>
        </r>
      </text>
    </comment>
    <comment ref="O2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Q2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$0.18      $0.18
    10   $0.16      $1.60
   100   $0.09      $8.72
   500   $0.05     $26.82
  1000   $0.04     $36.57
  3000   $0.03     $93.24
  6000   $0.03    $168.24
 15000   $0.02    $365.70
 30000   $0.02    $658.20
 75000   $0.02  $1,509.75</t>
        </r>
      </text>
    </comment>
    <comment ref="T2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V26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£0.18      £0.88
    10   £0.16      £1.61
   100   £0.09      £8.55
   150   £0.09     £12.83
   500   £0.05     £23.65
  3000   £0.02     £56.10</t>
        </r>
      </text>
    </comment>
    <comment ref="AD2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F2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$0.17      $0.17
    10   $0.16      $1.61
    50   $0.16      $8.05
   100   $0.09      $8.80
  1000   $0.04     $37.00
 10000   $0.02    $240.00</t>
        </r>
      </text>
    </comment>
    <comment ref="AK2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$0.18      $0.18
    10   $0.13      $1.28
    25   $0.09      $2.22
    50   $0.07      $3.45
   100   $0.05      $5.40
   250   $0.04     $11.25
   500   $0.04     $18.50
  1000   $0.03     $28.00
  3000   $0.04    $105.00
  6000   $0.03    $162.00
 12000   $0.02    $252.00
 18000   $0.02    $378.00</t>
        </r>
      </text>
    </comment>
    <comment ref="AP26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200   £0.05     £10.40
  1000   £0.05     £48.00
  2000   £0.04     £90.00
  3000   £0.02     £54.00
  5000   £0.04    £205.00
 10000   £0.04    £380.00</t>
        </r>
      </text>
    </comment>
    <comment ref="AS2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U26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20   £0.04      £0.83
   100   £0.02      £1.71
   500   £0.02      £7.55
  3000   £0.01     £39.00
 12000   £0.01    £139.20</t>
        </r>
      </text>
    </comment>
    <comment ref="Q2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$0.07      $0.74
   100   $0.03      $3.01
  1000   $0.01     $13.53
  2500   $0.01     $29.35
  5000   $0.01     $48.50</t>
        </r>
      </text>
    </comment>
    <comment ref="AF2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$0.14      $0.14
    10   $0.08      $0.78
    50   $0.08      $3.90
   100   $0.03      $3.30
  1000   $0.02     $17.00
 10000   $0.01    $110.00</t>
        </r>
      </text>
    </comment>
    <comment ref="Q2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$0.07      $0.74
   100   $0.03      $3.01
  1000   $0.01     $13.53
  2500   $0.01     $29.35
  5000   $0.01     $48.50</t>
        </r>
      </text>
    </comment>
    <comment ref="V2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£0.09      £0.88
   100   £0.04      £3.50
   150   £0.04      £5.25
   500   £0.02     £12.35
  1000   £0.01     £14.30
  2500   £0.01     £32.50
  5000   £0.01     £53.50
 25000   £0.01    £195.00</t>
        </r>
      </text>
    </comment>
    <comment ref="AD2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F2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$0.07      $0.74
    50   $0.07      $3.70
   100   $0.03      $3.10
  1000   $0.01     $12.00
 10000   $0.01     $60.00</t>
        </r>
      </text>
    </comment>
    <comment ref="AK2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$0.06      $0.06
    10   $0.04      $0.45
    25   $0.04      $0.90
    50   $0.03      $1.40
   100   $0.02      $1.90</t>
        </r>
      </text>
    </comment>
    <comment ref="AP2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£0.03      £3.00
   500   £0.03     £14.00
  1000   £0.02     £25.00
  2000   £0.02     £40.00
  5000   £0.01     £35.00</t>
        </r>
      </text>
    </comment>
    <comment ref="AU2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£0.02      £1.97
  1000   £0.01      £6.09
  5000   £0.00     £19.10
 15000   £0.00     £52.20
 50000   £0.00    £168.00</t>
        </r>
      </text>
    </comment>
    <comment ref="Q2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$0.07      $0.74
   100   $0.03      $3.01
  1000   $0.01     $13.53
  2500   $0.01     $29.35
  5000   $0.01     $48.50</t>
        </r>
      </text>
    </comment>
    <comment ref="V2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£0.08      £0.84
   100   £0.03      £3.34
   150   £0.03      £5.01
   500   £0.02     £11.95
  1000   £0.01     £14.40
  2500   £0.01     £32.75
  5000   £0.01     £56.00
 25000   £0.01    £215.00</t>
        </r>
      </text>
    </comment>
    <comment ref="AF2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$0.07      $0.74
    50   $0.07      $3.70
   100   $0.03      $3.10
  1000   $0.01     $12.00
 10000   $0.01     $90.00</t>
        </r>
      </text>
    </comment>
    <comment ref="AK2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$0.01      $0.01
    10   $0.09      $0.89
    25   $0.07      $1.80
    50   $0.05      $2.70
   100   $0.04      $3.70
  5000   $0.01     $55.00</t>
        </r>
      </text>
    </comment>
    <comment ref="AP2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£0.03      £3.00
   500   £0.03     £14.00
  1000   £0.02     £25.00
  2000   £0.02     £40.00
  5000   £0.01     £35.00</t>
        </r>
      </text>
    </comment>
    <comment ref="AU2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£0.02      £1.87
  1000   £0.01      £5.41
  5000   £0.00     £19.90
 15000   £0.00     £55.05
 50000   £0.00    £175.50</t>
        </r>
      </text>
    </comment>
    <comment ref="Q3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$0.07      $0.74
   100   $0.03      $3.01
  1000   $0.01     $13.53
  2500   $0.01     $29.35
  5000   $0.01     $48.50</t>
        </r>
      </text>
    </comment>
    <comment ref="V3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£0.08      £0.84
   100   £0.03      £3.35
   150   £0.03      £5.02
   500   £0.02     £11.60
  1000   £0.01     £12.80
  2500   £0.01     £25.75
  5000   £0.01     £42.00
 25000   £0.01    £205.00</t>
        </r>
      </text>
    </comment>
    <comment ref="AF3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$0.07      $0.74
    50   $0.07      $3.70
   100   $0.03      $3.10
  1000   $0.01     $12.00
 10000   $0.01     $90.00</t>
        </r>
      </text>
    </comment>
    <comment ref="AK3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$0.09      $0.89
    25   $0.07      $1.80
    50   $0.05      $2.70
   100   $0.04      $3.70
  5000   $0.01     $55.00</t>
        </r>
      </text>
    </comment>
    <comment ref="AU3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£0.02      £1.56
  1000   £0.01      £5.87
  5000   £0.00     £18.95
 15000   £0.00     £51.90
 50000   £0.00    £167.50</t>
        </r>
      </text>
    </comment>
    <comment ref="Q3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$0.09      $0.93
   100   $0.04      $3.56
  1000   $0.02     $15.69
  2500   $0.01     $33.88
  5000   $0.01     $60.60</t>
        </r>
      </text>
    </comment>
    <comment ref="V3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£0.08      £0.77
   100   £0.03      £3.10
   150   £0.03      £4.65</t>
        </r>
      </text>
    </comment>
    <comment ref="AF3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$0.07      $0.71
    50   $0.07      $3.55
   100   $0.03      $3.40
  1000   $0.02     $15.00
 10000   $0.01    $110.00</t>
        </r>
      </text>
    </comment>
    <comment ref="AK3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$0.00      $0.00
    25   $0.00      $0.10
    50   $0.00      $0.20
   100   $0.00      $0.40
   250   $0.00      $1.00
   500   $0.00      $2.00
  1000   $0.00      $4.00
 50000   $0.01    $650.00</t>
        </r>
      </text>
    </comment>
    <comment ref="Q3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$0.07      $0.74
   100   $0.03      $3.01
  1000   $0.01     $13.53
  2500   $0.01     $29.35
  5000   $0.01     $48.50</t>
        </r>
      </text>
    </comment>
    <comment ref="V3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£0.06      £0.64
   100   £0.02      £2.46
   150   £0.02      £3.69
   500   £0.02      £9.75
  1000   £0.01     £14.40
  2500   £0.01     £32.75
  5000   £0.01     £55.00
 25000   £0.01    £212.50</t>
        </r>
      </text>
    </comment>
    <comment ref="AD3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F3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$0.07      $0.74
    50   $0.07      $3.70
   100   $0.03      $3.10
  1000   $0.01     $12.00
 10000   $0.01     $90.00</t>
        </r>
      </text>
    </comment>
    <comment ref="AK3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$0.01      $0.01
    10   $0.09      $0.89
    25   $0.07      $1.80
    50   $0.05      $2.70
   100   $0.04      $3.70
  5000   $0.01     $50.00
 10000   $0.01     $80.00</t>
        </r>
      </text>
    </comment>
    <comment ref="AU3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£0.03      £2.54
  1000   £0.01      £8.11
  5000   £0.00     £19.45
 15000   £0.00     £53.55
 50000   £0.00    £173.00</t>
        </r>
      </text>
    </comment>
    <comment ref="Q3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$0.07      $0.74
   100   $0.03      $3.01
  1000   $0.01     $13.53
  2500   $0.01     $29.35
  5000   $0.01     $48.50</t>
        </r>
      </text>
    </comment>
    <comment ref="V3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£0.06      £0.64
   100   £0.02      £2.22
   150   £0.02      £3.33
   500   £0.02     £10.80
  1000   £0.02     £15.40
  2500   £0.01     £33.00
  5000   £0.01     £55.00
 25000   £0.01    £200.00</t>
        </r>
      </text>
    </comment>
    <comment ref="AF3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$0.23      $0.23
    10   $0.05      $0.54
    50   $0.05      $2.70
   100   $0.02      $1.90
  1000   $0.01     $14.00
 10000   $0.01     $80.00</t>
        </r>
      </text>
    </comment>
    <comment ref="AK3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$0.04      $0.36
    25   $0.03      $0.70
    50   $0.02      $1.05
   100   $0.01      $1.30</t>
        </r>
      </text>
    </comment>
    <comment ref="AS3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U3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£0.03      £3.07
  1000   £0.02     £18.59
  5000   £0.01     £38.15
 15000   £0.01     £91.80
 50000   £0.01    £282.00</t>
        </r>
      </text>
    </comment>
    <comment ref="Q3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$0.07      $0.74
   100   $0.03      $3.01
  1000   $0.01     $13.53
  2500   $0.01     $29.35
  5000   $0.01     $48.50</t>
        </r>
      </text>
    </comment>
    <comment ref="V3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£0.09      £0.88
   100   £0.04      £3.50
   150   £0.04      £5.25
   500   £0.02     £12.35
  1000   £0.01     £14.30
  2500   £0.01     £32.50
  5000   £0.01     £53.50
 25000   £0.01    £195.00</t>
        </r>
      </text>
    </comment>
    <comment ref="AD3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F3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$0.07      $0.74
    50   $0.07      $3.70
   100   $0.03      $3.10
  1000   $0.01     $12.00
 10000   $0.01     $60.00</t>
        </r>
      </text>
    </comment>
    <comment ref="AK3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$0.06      $0.06
    10   $0.04      $0.45
    25   $0.04      $0.90
    50   $0.03      $1.40
   100   $0.02      $1.90</t>
        </r>
      </text>
    </comment>
    <comment ref="AP3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£0.03      £3.00
   500   £0.03     £14.00
  1000   £0.02     £25.00
  2000   £0.02     £40.00
  5000   £0.01     £35.00</t>
        </r>
      </text>
    </comment>
    <comment ref="AU3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£0.02      £1.97
  1000   £0.01      £6.09
  5000   £0.00     £19.10
 15000   £0.00     £52.20
 50000   £0.00    £168.00</t>
        </r>
      </text>
    </comment>
    <comment ref="Q3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$0.04      $0.36
   100   $0.01      $1.46
  1000   $0.01      $6.55
  2500   $0.01     $14.22
  5000   $0.00     $23.50</t>
        </r>
      </text>
    </comment>
    <comment ref="Q3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$0.07      $0.74
   100   $0.03      $3.01
  1000   $0.01     $13.53
  2500   $0.01     $29.35
  5000   $0.01     $48.50</t>
        </r>
      </text>
    </comment>
    <comment ref="V36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£0.09      £0.88
   100   £0.04      £3.50
   150   £0.04      £5.25
   500   £0.02     £12.35
  1000   £0.01     £14.30
  2500   £0.01     £32.50
  5000   £0.01     £53.50
 25000   £0.01    £210.00</t>
        </r>
      </text>
    </comment>
    <comment ref="AF3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$0.07      $0.74
    50   $0.07      $3.70
   100   $0.03      $3.10
  1000   $0.01     $12.00
 10000   $0.01     $90.00</t>
        </r>
      </text>
    </comment>
    <comment ref="AK3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$0.07      $0.07
    10   $0.05      $0.46
    25   $0.04      $0.92
    50   $0.03      $1.40
   100   $0.02      $1.90</t>
        </r>
      </text>
    </comment>
    <comment ref="AP36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£0.03      £3.00
   500   £0.03     £14.00
  1000   £0.02     £25.00
  2000   £0.02     £40.00
  5000   £0.01     £35.00</t>
        </r>
      </text>
    </comment>
    <comment ref="AS3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U36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£0.03      £3.08
  1000   £0.01      £9.81
  5000   £0.00     £24.05
 15000   £0.00     £66.60
 50000   £0.00    £214.00</t>
        </r>
      </text>
    </comment>
    <comment ref="Q3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$0.07      $0.74
   100   $0.03      $3.01
  1000   $0.01     $13.53
  2500   $0.01     $29.35
  5000   $0.01     $48.50</t>
        </r>
      </text>
    </comment>
    <comment ref="V3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£0.06      £0.64
   100   £0.02      £2.46
   150   £0.02      £3.69
   500   £0.02      £9.75
  1000   £0.01     £14.30
  2500   £0.01     £32.50
  5000   £0.01     £56.00
 25000   £0.01    £215.00</t>
        </r>
      </text>
    </comment>
    <comment ref="AD3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F3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$0.07      $0.74
    50   $0.07      $3.70
   100   $0.03      $3.10
  1000   $0.01     $12.00
 10000   $0.01     $70.00</t>
        </r>
      </text>
    </comment>
    <comment ref="AK3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$0.01      $0.01
    10   $0.07      $0.74
    25   $0.06      $1.50
    50   $0.04      $2.25
   100   $0.03      $3.10
   250   $0.04      $8.75
   500   $0.03     $13.50
  1000   $0.02     $22.00
  2500   $0.02     $45.00
  5000   $0.01     $50.00
 10000   $0.01     $80.00
 20000   $0.01    $180.00</t>
        </r>
      </text>
    </comment>
    <comment ref="AP3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5000   £0.01     £50.00</t>
        </r>
      </text>
    </comment>
    <comment ref="AU3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£0.02      £2.31
  1000   £0.01      £6.87
  5000   £0.00     £16.30
 15000   £0.00     £43.65
 50000   £0.00    £140.50</t>
        </r>
      </text>
    </comment>
    <comment ref="Q3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$0.04      $0.36
   100   $0.01      $1.46
  1000   $0.01      $6.55
  2500   $0.01     $14.22
  5000   $0.00     $23.50</t>
        </r>
      </text>
    </comment>
    <comment ref="O4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Q4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$2.72      $2.72
    10   $2.45     $24.47
    25   $2.31     $57.70
   100   $1.97    $196.65
   250   $1.85    $461.63
   500   $1.62    $807.85
  1000   $1.52  $1,524.25
  3000   $1.52  $4,572.75</t>
        </r>
      </text>
    </comment>
    <comment ref="AD4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F4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$2.72      $2.72
    10   $2.45     $24.50
    50   $2.31    $115.50
   100   $1.97    $197.00
  1000   $1.34  $1,340.00
 10000   $1.34 $13,400.00</t>
        </r>
      </text>
    </comment>
    <comment ref="AP4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£2.14     £10.70
  3000   £0.99  £2,976.00
 15000   £0.97 £14,505.00</t>
        </r>
      </text>
    </comment>
    <comment ref="O4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Q4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$0.28      $0.28
    10   $0.23      $2.28
    25   $0.19      $4.77
   100   $0.12     $12.08
   250   $0.09     $23.32
   500   $0.08     $39.75
  1000   $0.05     $54.06
  3000   $0.05    $146.28
  6000   $0.04    $254.40
 15000   $0.04    $540.60
 30000   $0.03  $1,017.60
 75000   $0.03  $2,385.00</t>
        </r>
      </text>
    </comment>
    <comment ref="V4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£0.42      £2.12
    10   £0.31      £3.09
   100   £0.14     £14.40
   150   £0.14     £21.60
   500   £0.10     £52.00</t>
        </r>
      </text>
    </comment>
    <comment ref="AD4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F4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$0.36      $0.36
    10   $0.27      $2.67
    50   $0.27     $13.35
   100   $0.13     $13.40
  1000   $0.08     $77.00
 10000   $0.05    $530.00</t>
        </r>
      </text>
    </comment>
    <comment ref="AK4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$0.03      $0.03
     5   $0.36      $1.78
    10   $0.23      $2.29
    25   $0.19      $4.68
    50   $0.14      $7.20
   100   $0.10     $10.10
   250   $0.09     $23.50
   500   $0.09     $43.50
  1000   $0.08     $79.00
  3000   $0.03     $84.00
 18000   $0.03    $486.00
 27000   $0.03    $702.00
 45000   $0.02  $1,125.00
 90000   $0.02  $2,160.00</t>
        </r>
      </text>
    </comment>
    <comment ref="AP4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£0.08      £8.30
   500   £0.08     £39.50
  1000   £0.07     £71.00
  3000   £0.05    £141.00
  6000   £0.04    £270.00</t>
        </r>
      </text>
    </comment>
    <comment ref="AU4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£0.06      £0.62
    50   £0.03      £1.67
   250   £0.03      £7.25
  1000   £0.03     £25.30
  3000   £0.02     £70.80</t>
        </r>
      </text>
    </comment>
    <comment ref="Q4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$1.80      $1.80
    10   $1.62     $16.15
    25   $1.52     $38.09
   100   $1.30    $129.82
   250   $1.22    $304.75
   500   $1.07    $533.31
  1000   $0.88    $883.78
  3000   $0.86  $2,587.50</t>
        </r>
      </text>
    </comment>
    <comment ref="Q4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$1.72      $1.72
    10   $1.54     $15.42
    25   $1.45     $36.37
   100   $1.24    $123.95
   250   $1.16    $290.97
   500   $1.02    $509.20
  1000   $0.84    $843.81
 36000   $0.77 $27,669.60</t>
        </r>
      </text>
    </comment>
    <comment ref="T4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V4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£1.80      £1.80
    10   £1.63     £16.30
    25   £1.46     £36.50
   100   £1.31    £131.00
   250   £1.17    £292.50
   500   £1.02    £510.00</t>
        </r>
      </text>
    </comment>
    <comment ref="O4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Q4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$0.92      $0.92
    10   $0.81      $8.08
   100   $0.62     $61.95
   500   $0.49    $244.86
  1000   $0.40    $404.25
  3000   $0.40  $1,212.75</t>
        </r>
      </text>
    </comment>
    <comment ref="T4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V4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£0.90      £0.90
    10   £0.75      £7.52
   100   £0.53     £53.00
   500   £0.42    £210.00
  1000   £0.41    £412.00</t>
        </r>
      </text>
    </comment>
    <comment ref="AD4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F4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$0.94      $0.94
    10   $0.82      $8.25
    50   $0.82     $41.25
   100   $0.65     $65.20
  1000   $0.43    $426.00
 10000   $0.41  $4,120.00</t>
        </r>
      </text>
    </comment>
    <comment ref="AI4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K4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$1.16      $1.16
    10   $1.09     $10.90
    25   $1.03     $25.75
    50   $0.97     $48.65
   100   $0.92     $91.50
   250   $0.86    $215.75</t>
        </r>
      </text>
    </comment>
    <comment ref="Q4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$4.21      $4.21
    25   $3.66     $91.50</t>
        </r>
      </text>
    </comment>
    <comment ref="T4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V46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£3.87      £3.87
    10   £3.08     £30.80
   100   £2.16    £216.00
   250   £2.07    £517.50
   500   £2.02  £1,010.00</t>
        </r>
      </text>
    </comment>
    <comment ref="AD4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F4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$4.47      $4.47
    10   $4.47     $44.70
    50   $3.73    $186.50
   100   $3.66    $366.00
  1000   $3.66  $3,660.00
 10000   $3.66 $36,600.00</t>
        </r>
      </text>
    </comment>
    <comment ref="AI4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K4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$4.63      $4.63
    10   $4.26     $42.60
    25   $3.89     $97.25
   160   $3.89    $622.40</t>
        </r>
      </text>
    </comment>
    <comment ref="Q4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$0.37      $0.37
    10   $0.31      $3.12
    50   $0.28     $14.06
   100   $0.25     $24.99
   500   $0.24    $118.70
  1000   $0.20    $199.92
  3000   $0.19    $562.29
  5000   $0.18    $905.90
 10000   $0.17  $1,749.30</t>
        </r>
      </text>
    </comment>
    <comment ref="AP4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1000   £0.14    £141.00</t>
        </r>
      </text>
    </comment>
    <comment ref="H50" authorId="0">
      <text>
        <r>
          <rPr>
            <sz val="8"/>
            <color indexed="81"/>
            <rFont val="Tahoma"/>
            <family val="2"/>
          </rPr>
          <t>This is the total of your cart across all distributors.</t>
        </r>
      </text>
    </comment>
    <comment ref="K50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P50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U50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Z50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E50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J50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O50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T50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H51" authorId="0">
      <text>
        <r>
          <rPr>
            <sz val="8"/>
            <color indexed="81"/>
            <rFont val="Tahoma"/>
            <family val="2"/>
          </rPr>
          <t>This description will be added to all purchased parts label and may be used to distinguish the component of different projects.</t>
        </r>
      </text>
    </comment>
    <comment ref="Z51" authorId="0">
      <text>
        <r>
          <rPr>
            <sz val="8"/>
            <color indexed="81"/>
            <rFont val="Tahoma"/>
            <family val="2"/>
          </rPr>
          <t>Copy this header and order to CSV file and use for JLCPCB manufacture PCB housing. The multipart components that use "#" symbol is not allowed at JLCPCB.</t>
        </r>
      </text>
    </comment>
  </commentList>
</comments>
</file>

<file path=xl/sharedStrings.xml><?xml version="1.0" encoding="utf-8"?>
<sst xmlns="http://schemas.openxmlformats.org/spreadsheetml/2006/main" count="569" uniqueCount="313">
  <si>
    <t>Global Part Info</t>
  </si>
  <si>
    <t>Refs</t>
  </si>
  <si>
    <t>Value</t>
  </si>
  <si>
    <t>Desc</t>
  </si>
  <si>
    <t>Footprint</t>
  </si>
  <si>
    <t>Manf</t>
  </si>
  <si>
    <t>Manf#</t>
  </si>
  <si>
    <t>Qty</t>
  </si>
  <si>
    <t>Unit$</t>
  </si>
  <si>
    <t>Ext$</t>
  </si>
  <si>
    <t>B1</t>
  </si>
  <si>
    <t>JST 2-PH</t>
  </si>
  <si>
    <t>Connector Header Through Hole, Right Angle 2 position</t>
  </si>
  <si>
    <t>JST_S2B-PH-K-S(LF)(SN)</t>
  </si>
  <si>
    <t>B2B-PH-K-S(LF)(SN)</t>
  </si>
  <si>
    <t>C1,C3,C6,C8,C10,C11,C19-C22</t>
  </si>
  <si>
    <t>10uF</t>
  </si>
  <si>
    <t>C_1206_3216Metric_Pad1.33x1.80mm_HandSolder</t>
  </si>
  <si>
    <t>CL31B106MOHNNNE</t>
  </si>
  <si>
    <t>C15,C16</t>
  </si>
  <si>
    <t>4.7uF</t>
  </si>
  <si>
    <t>CL31B475KAHNFNE</t>
  </si>
  <si>
    <t>C17,C18</t>
  </si>
  <si>
    <t>27pF</t>
  </si>
  <si>
    <t>C1206C270K5GAC7800</t>
  </si>
  <si>
    <t>C2,C7,C9,C12-C14</t>
  </si>
  <si>
    <t>0.1uF</t>
  </si>
  <si>
    <t>CL31B104KBCNFNC</t>
  </si>
  <si>
    <t>C4</t>
  </si>
  <si>
    <t>2.2uF</t>
  </si>
  <si>
    <t>CL31B225KOHNNNE</t>
  </si>
  <si>
    <t>C5,C23</t>
  </si>
  <si>
    <t>100uF</t>
  </si>
  <si>
    <t>GRM31CR60G107ME39L</t>
  </si>
  <si>
    <t>D1,D2,D6</t>
  </si>
  <si>
    <t>Red</t>
  </si>
  <si>
    <t>LED_1206_3216Metric_Pad1.42x1.75mm_HandSolder</t>
  </si>
  <si>
    <t>156120RS75300</t>
  </si>
  <si>
    <t>D3,D5</t>
  </si>
  <si>
    <t>Green</t>
  </si>
  <si>
    <t>150120GS75000</t>
  </si>
  <si>
    <t>D4</t>
  </si>
  <si>
    <t>Orange</t>
  </si>
  <si>
    <t>150120AS75000</t>
  </si>
  <si>
    <t>J1</t>
  </si>
  <si>
    <t>USB4125-GF-A_REVA2</t>
  </si>
  <si>
    <t>GCT_USB4125-GF-A_REVA2</t>
  </si>
  <si>
    <t>GCT</t>
  </si>
  <si>
    <t>USB4125-GF-A</t>
  </si>
  <si>
    <t>J2</t>
  </si>
  <si>
    <t>PREC002SAAN-RC</t>
  </si>
  <si>
    <t>J3</t>
  </si>
  <si>
    <t>SS-53000-001</t>
  </si>
  <si>
    <t>STEWART_SS-53000-001</t>
  </si>
  <si>
    <t>BelFuse</t>
  </si>
  <si>
    <t>J4,J10</t>
  </si>
  <si>
    <t>FFC3B07-20-T</t>
  </si>
  <si>
    <t>GCT_FFC3B07-20-T</t>
  </si>
  <si>
    <t>J5</t>
  </si>
  <si>
    <t>Micro_SD_Card_Det</t>
  </si>
  <si>
    <t>SDCARD_MOLEX_503398-1892</t>
  </si>
  <si>
    <t>5033981892</t>
  </si>
  <si>
    <t>J6</t>
  </si>
  <si>
    <t>ARJM11D7-502-AB-EW2</t>
  </si>
  <si>
    <t>Modular Connectors / Ethernet Connectors RJ45 JACK W/MAG 1000Base-T</t>
  </si>
  <si>
    <t>ARJM11D7502ABEW2</t>
  </si>
  <si>
    <t>J7-J9</t>
  </si>
  <si>
    <t>SS-52100-001</t>
  </si>
  <si>
    <t>L1</t>
  </si>
  <si>
    <t>6.8uH</t>
  </si>
  <si>
    <t>NRS5030T6R8MMGJ</t>
  </si>
  <si>
    <t>Module1</t>
  </si>
  <si>
    <t>ComputeModule4-CM4</t>
  </si>
  <si>
    <t>Raspberry-Pi-4-Compute-Module</t>
  </si>
  <si>
    <t>Q1</t>
  </si>
  <si>
    <t>MMUN2133LT1G</t>
  </si>
  <si>
    <t>SOT95P240X111-3N</t>
  </si>
  <si>
    <t>ON Semiconductor</t>
  </si>
  <si>
    <t>R1,R7</t>
  </si>
  <si>
    <t>1.87M</t>
  </si>
  <si>
    <t>R_1206_3216Metric_Pad1.30x1.75mm_HandSolder</t>
  </si>
  <si>
    <t>RC1206FR-071M87L</t>
  </si>
  <si>
    <t>R10</t>
  </si>
  <si>
    <t>15K</t>
  </si>
  <si>
    <t>RC1206FR-0715KL</t>
  </si>
  <si>
    <t>R13</t>
  </si>
  <si>
    <t>270K</t>
  </si>
  <si>
    <t>RC1206FR-07270KL</t>
  </si>
  <si>
    <t>R18,R24</t>
  </si>
  <si>
    <t>12K 1%</t>
  </si>
  <si>
    <t>RC1206FR-0712KL</t>
  </si>
  <si>
    <t>R2</t>
  </si>
  <si>
    <t>340K</t>
  </si>
  <si>
    <t>ERJ-8ENF3403V</t>
  </si>
  <si>
    <t>R20,R21</t>
  </si>
  <si>
    <t>470R</t>
  </si>
  <si>
    <t>RC1206FR-07470RL</t>
  </si>
  <si>
    <t>R22,R23</t>
  </si>
  <si>
    <t>36K 1%</t>
  </si>
  <si>
    <t>RC1206FR-0736KL</t>
  </si>
  <si>
    <t>R25</t>
  </si>
  <si>
    <t>15K 1%</t>
  </si>
  <si>
    <t>R3,R4</t>
  </si>
  <si>
    <t>5.1K</t>
  </si>
  <si>
    <t>RMCF1206FT5K10</t>
  </si>
  <si>
    <t>R5,R8</t>
  </si>
  <si>
    <t>200K</t>
  </si>
  <si>
    <t>RC1206FR-07200KL</t>
  </si>
  <si>
    <t>R6,R12,R14-R17,R19</t>
  </si>
  <si>
    <t>1K</t>
  </si>
  <si>
    <t>RC1206FR-071KL</t>
  </si>
  <si>
    <t>R9,R11</t>
  </si>
  <si>
    <t>100K</t>
  </si>
  <si>
    <t>RMCF1206FT100K</t>
  </si>
  <si>
    <t>TP1,TP2</t>
  </si>
  <si>
    <t>TestPoint</t>
  </si>
  <si>
    <t>TestPoint_Pad_4.0x4.0mm</t>
  </si>
  <si>
    <t>U1</t>
  </si>
  <si>
    <t>TPS61090RSAR</t>
  </si>
  <si>
    <t>2A Switch, 96% Efficient Boost Converter 16-QFN -40 to 85</t>
  </si>
  <si>
    <t>QFN65P400X400X100-17N</t>
  </si>
  <si>
    <t>U2</t>
  </si>
  <si>
    <t>MCP73871-2CCI_ML</t>
  </si>
  <si>
    <t>IC USB/AC BATT CHRGR W/PPM 20QFN</t>
  </si>
  <si>
    <t>QFN-20-1EP_4x4mm</t>
  </si>
  <si>
    <t>Microchip Technology</t>
  </si>
  <si>
    <t>MCP73871-2CCI/ML</t>
  </si>
  <si>
    <t>U3</t>
  </si>
  <si>
    <t>74LVC1G07</t>
  </si>
  <si>
    <t>SOT-353_SC-70-5</t>
  </si>
  <si>
    <t>74LVC1G07SE-7</t>
  </si>
  <si>
    <t>U4</t>
  </si>
  <si>
    <t>RT9742VGJ5</t>
  </si>
  <si>
    <t>SOT-23-5</t>
  </si>
  <si>
    <t>U5</t>
  </si>
  <si>
    <t>RT9742ENGJ5</t>
  </si>
  <si>
    <t>U6,U7</t>
  </si>
  <si>
    <t>TPD4EUSB30</t>
  </si>
  <si>
    <t>USON-10_2.5x1.0mm_P0.5mm</t>
  </si>
  <si>
    <t>TPD4EUSB30DQAR</t>
  </si>
  <si>
    <t>U8</t>
  </si>
  <si>
    <t>USB2504A-JT</t>
  </si>
  <si>
    <t>U9</t>
  </si>
  <si>
    <t>AP22653W6-7</t>
  </si>
  <si>
    <t>SOT95P280X145-6N</t>
  </si>
  <si>
    <t>Diodes Inc.</t>
  </si>
  <si>
    <t>Y1</t>
  </si>
  <si>
    <t>24MHz</t>
  </si>
  <si>
    <t>Crystal_SMD_HC49-SD</t>
  </si>
  <si>
    <t>FC4SDCBMF24.0-T1</t>
  </si>
  <si>
    <t>Total Purchase:</t>
  </si>
  <si>
    <t>Purchase description:</t>
  </si>
  <si>
    <t>Used currency rates:</t>
  </si>
  <si>
    <t>USD($)/GBP(£):</t>
  </si>
  <si>
    <t>Prj:</t>
  </si>
  <si>
    <t>customBoard.xml</t>
  </si>
  <si>
    <t>Co.:</t>
  </si>
  <si>
    <t>Prj date:</t>
  </si>
  <si>
    <t>10/23/2021 7:53:36 PM</t>
  </si>
  <si>
    <t>Board Qty:</t>
  </si>
  <si>
    <t>Total Cost:</t>
  </si>
  <si>
    <t>Unit Cost:</t>
  </si>
  <si>
    <t>$ date:</t>
  </si>
  <si>
    <t>2021-10-23 19:59:16</t>
  </si>
  <si>
    <t>Arrow</t>
  </si>
  <si>
    <t>Avail</t>
  </si>
  <si>
    <t>Purch</t>
  </si>
  <si>
    <t>Cat#</t>
  </si>
  <si>
    <t>Digi-Key</t>
  </si>
  <si>
    <t>455-1704-ND</t>
  </si>
  <si>
    <t>NonStk</t>
  </si>
  <si>
    <t>1276-6641-1-ND</t>
  </si>
  <si>
    <t>1276-3177-1-ND</t>
  </si>
  <si>
    <t>399-C1206C270K5GAC7800TR-ND</t>
  </si>
  <si>
    <t>1276-2744-1-ND</t>
  </si>
  <si>
    <t>1276-1264-1-ND</t>
  </si>
  <si>
    <t>490-7216-1-ND</t>
  </si>
  <si>
    <t>732-5031-1-ND</t>
  </si>
  <si>
    <t>732-4990-1-ND</t>
  </si>
  <si>
    <t>732-4988-1-ND</t>
  </si>
  <si>
    <t>2073-USB4125-GF-ACT-ND</t>
  </si>
  <si>
    <t>S1012EC-02-ND</t>
  </si>
  <si>
    <t>380-SS-53000-001-ND</t>
  </si>
  <si>
    <t>2073-FFC3B07-20-TCT-ND</t>
  </si>
  <si>
    <t>WM11190CT-ND</t>
  </si>
  <si>
    <t>535-14152-ND</t>
  </si>
  <si>
    <t>380-1412-ND</t>
  </si>
  <si>
    <t>587-3462-1-ND</t>
  </si>
  <si>
    <t>MMUN2133LT1GOSCT-ND</t>
  </si>
  <si>
    <t>311-1.87MFRCT-ND</t>
  </si>
  <si>
    <t>311-15.0KFRCT-ND</t>
  </si>
  <si>
    <t>311-270KFRCT-ND</t>
  </si>
  <si>
    <t>311-12.0KFRCT-ND</t>
  </si>
  <si>
    <t>P340KFCT-ND</t>
  </si>
  <si>
    <t>311-470FRCT-ND</t>
  </si>
  <si>
    <t>311-36.0KFRCT-ND</t>
  </si>
  <si>
    <t>RMCF1206FT5K10CT-ND</t>
  </si>
  <si>
    <t>311-200KFRCT-ND</t>
  </si>
  <si>
    <t>311-1.00KFRCT-ND</t>
  </si>
  <si>
    <t>RMCF1206FT100KCT-ND</t>
  </si>
  <si>
    <t>296-15259-1-ND</t>
  </si>
  <si>
    <t>74LVC1G07SE-7DICT-ND</t>
  </si>
  <si>
    <t>1028-RT9742VGJ5CT-ND</t>
  </si>
  <si>
    <t>1028-1434-1-ND</t>
  </si>
  <si>
    <t>296-28063-1-ND</t>
  </si>
  <si>
    <t>638-1031-ND</t>
  </si>
  <si>
    <t>631-1020-1-ND</t>
  </si>
  <si>
    <t>Farnell</t>
  </si>
  <si>
    <t>9491856</t>
  </si>
  <si>
    <t>2322094</t>
  </si>
  <si>
    <t>2322085</t>
  </si>
  <si>
    <t>2322083</t>
  </si>
  <si>
    <t>3648642</t>
  </si>
  <si>
    <t>3770689</t>
  </si>
  <si>
    <t>2358234</t>
  </si>
  <si>
    <t>2903485</t>
  </si>
  <si>
    <t>2860459</t>
  </si>
  <si>
    <t>2317628</t>
  </si>
  <si>
    <t>3496153</t>
  </si>
  <si>
    <t>9236961</t>
  </si>
  <si>
    <t>9236880</t>
  </si>
  <si>
    <t>2307640</t>
  </si>
  <si>
    <t>9240926</t>
  </si>
  <si>
    <t>3496227</t>
  </si>
  <si>
    <t>3496174</t>
  </si>
  <si>
    <t>9240942</t>
  </si>
  <si>
    <t>1845213</t>
  </si>
  <si>
    <t>2545873</t>
  </si>
  <si>
    <t>3116518</t>
  </si>
  <si>
    <t>1711360</t>
  </si>
  <si>
    <t>LCSC</t>
  </si>
  <si>
    <t>C131337</t>
  </si>
  <si>
    <t>C730480</t>
  </si>
  <si>
    <t>C53655</t>
  </si>
  <si>
    <t>C428492</t>
  </si>
  <si>
    <t>C222938</t>
  </si>
  <si>
    <t>Mouser</t>
  </si>
  <si>
    <t>187CL31B106MOHNNNE</t>
  </si>
  <si>
    <t>187CL31B475KAHNFNE</t>
  </si>
  <si>
    <t>187CL31B104KBCNFNC</t>
  </si>
  <si>
    <t>187CL31B225KOHNNNE</t>
  </si>
  <si>
    <t>81GRM31CR60G107ME9L</t>
  </si>
  <si>
    <t>710156120RS75300</t>
  </si>
  <si>
    <t>710150120GS75000</t>
  </si>
  <si>
    <t>710150120AS75000</t>
  </si>
  <si>
    <t>640USB4125GFA</t>
  </si>
  <si>
    <t>640FFC3B0720T</t>
  </si>
  <si>
    <t>5385033981892</t>
  </si>
  <si>
    <t>815RJM11D7502ABEW2</t>
  </si>
  <si>
    <t>963NRS5030T6R8MMGJ</t>
  </si>
  <si>
    <t>863MMUN2133LT1G</t>
  </si>
  <si>
    <t>603RC1206FR071M87L</t>
  </si>
  <si>
    <t>603RC1206FR0715KL</t>
  </si>
  <si>
    <t>603RC1206FR07270KL</t>
  </si>
  <si>
    <t>603RC1206FR0712KL</t>
  </si>
  <si>
    <t>667ERJ8ENF3403V</t>
  </si>
  <si>
    <t>603RC1206FR07470RL</t>
  </si>
  <si>
    <t>603RC1206FR0736KL</t>
  </si>
  <si>
    <t>603RC1206FR07200KL</t>
  </si>
  <si>
    <t>603RC1206FR071KL</t>
  </si>
  <si>
    <t>595TPS61090RSAR</t>
  </si>
  <si>
    <t>62174LVC1G07SE7</t>
  </si>
  <si>
    <t>595TPD4EUSB30DQAR</t>
  </si>
  <si>
    <t>886USB2504AJT</t>
  </si>
  <si>
    <t>Newark</t>
  </si>
  <si>
    <t>37K9940</t>
  </si>
  <si>
    <t>95W3807</t>
  </si>
  <si>
    <t>95W3805</t>
  </si>
  <si>
    <t>08AJ1663</t>
  </si>
  <si>
    <t>39AH0176</t>
  </si>
  <si>
    <t>83AH8965</t>
  </si>
  <si>
    <t>09X1353</t>
  </si>
  <si>
    <t>64AC9525</t>
  </si>
  <si>
    <t>55AC0816</t>
  </si>
  <si>
    <t>90W4497</t>
  </si>
  <si>
    <t>82AH8444</t>
  </si>
  <si>
    <t>98K7671</t>
  </si>
  <si>
    <t>98K7634</t>
  </si>
  <si>
    <t>90W3841</t>
  </si>
  <si>
    <t>98K7692</t>
  </si>
  <si>
    <t>82AH8505</t>
  </si>
  <si>
    <t>82AH8465</t>
  </si>
  <si>
    <t>98K7619</t>
  </si>
  <si>
    <t>12T8902</t>
  </si>
  <si>
    <t>33AH5152</t>
  </si>
  <si>
    <t>70W0956</t>
  </si>
  <si>
    <t>RS Components</t>
  </si>
  <si>
    <t>8201422P</t>
  </si>
  <si>
    <t>7666723</t>
  </si>
  <si>
    <t>7492059</t>
  </si>
  <si>
    <t>8154271</t>
  </si>
  <si>
    <t>8154247P</t>
  </si>
  <si>
    <t>8154240</t>
  </si>
  <si>
    <t>8801277P</t>
  </si>
  <si>
    <t>7814376</t>
  </si>
  <si>
    <t>1995786</t>
  </si>
  <si>
    <t>1995819</t>
  </si>
  <si>
    <t>1995805</t>
  </si>
  <si>
    <t>6180528</t>
  </si>
  <si>
    <t>1626463</t>
  </si>
  <si>
    <t>7512793</t>
  </si>
  <si>
    <t>1734333</t>
  </si>
  <si>
    <t>TME</t>
  </si>
  <si>
    <t>MX5033981892</t>
  </si>
  <si>
    <t>RC1206FR0715K</t>
  </si>
  <si>
    <t>RC1206FR07270KL</t>
  </si>
  <si>
    <t>RC1206FR0712K</t>
  </si>
  <si>
    <t>RC1206FR07470R</t>
  </si>
  <si>
    <t>RC1206FR0736KL</t>
  </si>
  <si>
    <t>RC1206FR07200K</t>
  </si>
  <si>
    <t>RC1206FR071K</t>
  </si>
  <si>
    <t>74LVC1G07SE7</t>
  </si>
  <si>
    <t>KiCost® v.1.1.4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</si>
</sst>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1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909090"/>
      <name val="Calibri"/>
      <family val="2"/>
      <scheme val="minor"/>
    </font>
    <font>
      <u/>
      <sz val="11"/>
      <color theme="10"/>
      <name val="Calibri"/>
      <family val="2"/>
    </font>
    <font>
      <sz val="8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1166DD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C4DA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right"/>
    </xf>
    <xf numFmtId="164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top" wrapText="1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8" fillId="0" borderId="0" xfId="0" applyFont="1" applyAlignment="1">
      <alignment horizontal="right" vertical="center"/>
    </xf>
    <xf numFmtId="0" fontId="9" fillId="0" borderId="0" xfId="1" applyAlignment="1" applyProtection="1"/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5">
    <dxf>
      <fill>
        <patternFill>
          <bgColor rgb="FFAAAAAA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ill>
        <patternFill>
          <bgColor rgb="FFFFFF00"/>
        </patternFill>
      </fill>
    </dxf>
    <dxf>
      <fill>
        <patternFill>
          <bgColor rgb="FF80FF8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tasheet.octopart.com/B2B-PH-K-S%28LF%29%28SN%29-JST-datasheet-8324864.pdf" TargetMode="External"/><Relationship Id="rId2" Type="http://schemas.openxmlformats.org/officeDocument/2006/relationships/hyperlink" Target="https://octopart.com/click/track?c=1&amp;ai=8078&amp;sig=0b4f38d&amp;sid=459&amp;ppid=248868&amp;vpid=1140900&amp;ct=offers" TargetMode="External"/><Relationship Id="rId3" Type="http://schemas.openxmlformats.org/officeDocument/2006/relationships/hyperlink" Target="https://octopart.com/click/track?ai=8078&amp;sig=0b3316e&amp;sid=819&amp;ppid=248868&amp;vpid=138964131&amp;ct=offers" TargetMode="External"/><Relationship Id="rId4" Type="http://schemas.openxmlformats.org/officeDocument/2006/relationships/hyperlink" Target="https://octopart.com/click/track?ai=8078&amp;sig=039219f&amp;sid=27971&amp;ppid=248868&amp;vpid=490103703&amp;ct=offers" TargetMode="External"/><Relationship Id="rId5" Type="http://schemas.openxmlformats.org/officeDocument/2006/relationships/hyperlink" Target="https://octopart.com/click/track?ai=8078&amp;sig=04c400a&amp;sid=2402&amp;ppid=248868&amp;vpid=6718741&amp;ct=offers" TargetMode="External"/><Relationship Id="rId6" Type="http://schemas.openxmlformats.org/officeDocument/2006/relationships/hyperlink" Target="https://octopart.com/click/track?ai=8078&amp;sig=0f60176&amp;sid=10022&amp;ppid=248868&amp;vpid=437487308&amp;ct=offers" TargetMode="External"/><Relationship Id="rId7" Type="http://schemas.openxmlformats.org/officeDocument/2006/relationships/hyperlink" Target="https://octopart.com/click/track?ai=8078&amp;sig=0704219&amp;sid=459&amp;ppid=61608286&amp;vpid=254260286&amp;ct=offers" TargetMode="External"/><Relationship Id="rId8" Type="http://schemas.openxmlformats.org/officeDocument/2006/relationships/hyperlink" Target="https://octopart.com/click/track?ai=8078&amp;sig=0b6e5bc&amp;sid=27971&amp;ppid=61608286&amp;vpid=657116270&amp;ct=offers" TargetMode="External"/><Relationship Id="rId9" Type="http://schemas.openxmlformats.org/officeDocument/2006/relationships/hyperlink" Target="https://octopart.com/click/track?ai=8078&amp;sig=0405a5f&amp;sid=2401&amp;ppid=61608286&amp;vpid=659501984&amp;ct=offers" TargetMode="External"/><Relationship Id="rId10" Type="http://schemas.openxmlformats.org/officeDocument/2006/relationships/hyperlink" Target="https://octopart.com/click/track?ai=8078&amp;sig=043d275&amp;sid=459&amp;ppid=22240773&amp;vpid=72528537&amp;ct=offers" TargetMode="External"/><Relationship Id="rId11" Type="http://schemas.openxmlformats.org/officeDocument/2006/relationships/hyperlink" Target="https://octopart.com/click/track?ai=8078&amp;sig=0f8a7b1&amp;sid=2401&amp;ppid=22240773&amp;vpid=659502020&amp;ct=offers" TargetMode="External"/><Relationship Id="rId12" Type="http://schemas.openxmlformats.org/officeDocument/2006/relationships/hyperlink" Target="https://search.murata.co.jp/Ceramy/image/img/A01X/G101/ENG/GJM1555C1H270JB01-01.pdf" TargetMode="External"/><Relationship Id="rId13" Type="http://schemas.openxmlformats.org/officeDocument/2006/relationships/hyperlink" Target="https://octopart.com/click/track?ai=8078&amp;sig=0bf0fc2&amp;sid=459&amp;ppid=1689793&amp;vpid=772384586&amp;ct=offers" TargetMode="External"/><Relationship Id="rId14" Type="http://schemas.openxmlformats.org/officeDocument/2006/relationships/hyperlink" Target="https://octopart.com/click/track?ai=8078&amp;sig=0e7cb86&amp;sid=459&amp;ppid=19832843&amp;vpid=72527995&amp;ct=offers" TargetMode="External"/><Relationship Id="rId15" Type="http://schemas.openxmlformats.org/officeDocument/2006/relationships/hyperlink" Target="https://octopart.com/click/track?ai=8078&amp;sig=0441ee9&amp;sid=2401&amp;ppid=19832843&amp;vpid=659501935&amp;ct=offers" TargetMode="External"/><Relationship Id="rId16" Type="http://schemas.openxmlformats.org/officeDocument/2006/relationships/hyperlink" Target="https://octopart.com/click/track?ai=8078&amp;sig=0360d5d&amp;sid=459&amp;ppid=19832920&amp;vpid=72528317&amp;ct=offers" TargetMode="External"/><Relationship Id="rId17" Type="http://schemas.openxmlformats.org/officeDocument/2006/relationships/hyperlink" Target="https://octopart.com/click/track?ai=8078&amp;sig=00873b5&amp;sid=27971&amp;ppid=19832920&amp;vpid=476994824&amp;ct=offers" TargetMode="External"/><Relationship Id="rId18" Type="http://schemas.openxmlformats.org/officeDocument/2006/relationships/hyperlink" Target="https://octopart.com/click/track?ai=8078&amp;sig=0d50e6f&amp;sid=2401&amp;ppid=19832920&amp;vpid=658751521&amp;ct=offers" TargetMode="External"/><Relationship Id="rId19" Type="http://schemas.openxmlformats.org/officeDocument/2006/relationships/hyperlink" Target="https://octopart.com/click/track?ai=8078&amp;sig=057f30e&amp;sid=10022&amp;ppid=19832920&amp;vpid=199121550&amp;ct=offers" TargetMode="External"/><Relationship Id="rId20" Type="http://schemas.openxmlformats.org/officeDocument/2006/relationships/hyperlink" Target="https://octopart.com/click/track?ai=8078&amp;sig=07d7e74&amp;sid=1532&amp;ppid=19832920&amp;vpid=709157593&amp;ct=offers" TargetMode="External"/><Relationship Id="rId21" Type="http://schemas.openxmlformats.org/officeDocument/2006/relationships/hyperlink" Target="https://octopart.com/click/track?ai=8078&amp;sig=0e30e97&amp;sid=459&amp;ppid=19716567&amp;vpid=74138894&amp;ct=offers" TargetMode="External"/><Relationship Id="rId22" Type="http://schemas.openxmlformats.org/officeDocument/2006/relationships/hyperlink" Target="https://octopart.com/click/track?c=1&amp;ai=8078&amp;sig=0564711&amp;sid=2401&amp;ppid=19716567&amp;vpid=37771507&amp;ct=offers" TargetMode="External"/><Relationship Id="rId23" Type="http://schemas.openxmlformats.org/officeDocument/2006/relationships/hyperlink" Target="https://octopart.com/click/track?ai=8078&amp;sig=031f5bd&amp;sid=10022&amp;ppid=19716567&amp;vpid=199072500&amp;ct=offers" TargetMode="External"/><Relationship Id="rId24" Type="http://schemas.openxmlformats.org/officeDocument/2006/relationships/hyperlink" Target="https://octopart.com/click/track?ai=8078&amp;sig=0f50ec0&amp;sid=459&amp;ppid=29717828&amp;vpid=91297608&amp;ct=offers" TargetMode="External"/><Relationship Id="rId25" Type="http://schemas.openxmlformats.org/officeDocument/2006/relationships/hyperlink" Target="https://octopart.com/click/track?c=1&amp;ai=8078&amp;sig=0045e75&amp;sid=819&amp;ppid=29717828&amp;vpid=139812889&amp;ct=offers" TargetMode="External"/><Relationship Id="rId26" Type="http://schemas.openxmlformats.org/officeDocument/2006/relationships/hyperlink" Target="https://octopart.com/click/track?ai=8078&amp;sig=031c826&amp;sid=2401&amp;ppid=29717828&amp;vpid=168071814&amp;ct=offers" TargetMode="External"/><Relationship Id="rId27" Type="http://schemas.openxmlformats.org/officeDocument/2006/relationships/hyperlink" Target="https://octopart.com/click/track?ai=8078&amp;sig=0289855&amp;sid=10022&amp;ppid=29717828&amp;vpid=199194582&amp;ct=offers" TargetMode="External"/><Relationship Id="rId28" Type="http://schemas.openxmlformats.org/officeDocument/2006/relationships/hyperlink" Target="https://octopart.com/click/track?ai=8078&amp;sig=0840e4f&amp;sid=459&amp;ppid=29717787&amp;vpid=91297485&amp;ct=offers" TargetMode="External"/><Relationship Id="rId29" Type="http://schemas.openxmlformats.org/officeDocument/2006/relationships/hyperlink" Target="https://octopart.com/click/track?ai=8078&amp;sig=0274535&amp;sid=11744&amp;ppid=29717787&amp;vpid=132755232&amp;ct=offers" TargetMode="External"/><Relationship Id="rId30" Type="http://schemas.openxmlformats.org/officeDocument/2006/relationships/hyperlink" Target="https://octopart.com/click/track?ai=8078&amp;sig=0d607f6&amp;sid=2401&amp;ppid=29717787&amp;vpid=165625636&amp;ct=offers" TargetMode="External"/><Relationship Id="rId31" Type="http://schemas.openxmlformats.org/officeDocument/2006/relationships/hyperlink" Target="https://octopart.com/click/track?ai=8078&amp;sig=0f4de47&amp;sid=2402&amp;ppid=29717787&amp;vpid=82629817&amp;ct=offers" TargetMode="External"/><Relationship Id="rId32" Type="http://schemas.openxmlformats.org/officeDocument/2006/relationships/hyperlink" Target="https://octopart.com/click/track?ai=8078&amp;sig=0df52b6&amp;sid=10022&amp;ppid=29717787&amp;vpid=437663301&amp;ct=offers" TargetMode="External"/><Relationship Id="rId33" Type="http://schemas.openxmlformats.org/officeDocument/2006/relationships/hyperlink" Target="https://octopart.com/click/track?ai=8078&amp;sig=0be5c7a&amp;sid=459&amp;ppid=29717785&amp;vpid=91297479&amp;ct=offers" TargetMode="External"/><Relationship Id="rId34" Type="http://schemas.openxmlformats.org/officeDocument/2006/relationships/hyperlink" Target="https://octopart.com/click/track?ai=8078&amp;sig=0041a4f&amp;sid=11744&amp;ppid=29717785&amp;vpid=132755230&amp;ct=offers" TargetMode="External"/><Relationship Id="rId35" Type="http://schemas.openxmlformats.org/officeDocument/2006/relationships/hyperlink" Target="https://octopart.com/click/track?ai=8078&amp;sig=083be4a&amp;sid=2401&amp;ppid=29717785&amp;vpid=165625634&amp;ct=offers" TargetMode="External"/><Relationship Id="rId36" Type="http://schemas.openxmlformats.org/officeDocument/2006/relationships/hyperlink" Target="https://octopart.com/click/track?ai=8078&amp;sig=097eedb&amp;sid=2402&amp;ppid=29717785&amp;vpid=82629815&amp;ct=offers" TargetMode="External"/><Relationship Id="rId37" Type="http://schemas.openxmlformats.org/officeDocument/2006/relationships/hyperlink" Target="https://octopart.com/click/track?ai=8078&amp;sig=01eed34&amp;sid=10022&amp;ppid=29717785&amp;vpid=199194544&amp;ct=offers" TargetMode="External"/><Relationship Id="rId38" Type="http://schemas.openxmlformats.org/officeDocument/2006/relationships/hyperlink" Target="http://datasheet.octopart.com/USB4125-GF-A-Global-Connector-Technology-datasheet-148864632.pdf" TargetMode="External"/><Relationship Id="rId39" Type="http://schemas.openxmlformats.org/officeDocument/2006/relationships/hyperlink" Target="https://octopart.com/click/track?c=1&amp;ai=8078&amp;sig=002e516&amp;sid=459&amp;ppid=113696091&amp;vpid=670942251&amp;ct=offers" TargetMode="External"/><Relationship Id="rId40" Type="http://schemas.openxmlformats.org/officeDocument/2006/relationships/hyperlink" Target="https://octopart.com/click/track?ai=8078&amp;sig=03c90dd&amp;sid=819&amp;ppid=113696352&amp;vpid=696634180&amp;ct=offers" TargetMode="External"/><Relationship Id="rId41" Type="http://schemas.openxmlformats.org/officeDocument/2006/relationships/hyperlink" Target="https://octopart.com/click/track?ai=8078&amp;sig=00b646b&amp;sid=2401&amp;ppid=113696091&amp;vpid=719249004&amp;ct=offers" TargetMode="External"/><Relationship Id="rId42" Type="http://schemas.openxmlformats.org/officeDocument/2006/relationships/hyperlink" Target="https://octopart.com/click/track?ai=8078&amp;sig=0fa9d11&amp;sid=2402&amp;ppid=113696352&amp;vpid=671722376&amp;ct=offers" TargetMode="External"/><Relationship Id="rId43" Type="http://schemas.openxmlformats.org/officeDocument/2006/relationships/hyperlink" Target="https://octopart.com/click/track?c=1&amp;ai=8078&amp;sig=092532f&amp;sid=459&amp;ppid=22265067&amp;vpid=47550040&amp;ct=offers" TargetMode="External"/><Relationship Id="rId44" Type="http://schemas.openxmlformats.org/officeDocument/2006/relationships/hyperlink" Target="http://datasheet.octopart.com/SS-53000-001-Stewart-Connector-datasheet-140260800.pdf" TargetMode="External"/><Relationship Id="rId45" Type="http://schemas.openxmlformats.org/officeDocument/2006/relationships/hyperlink" Target="https://octopart.com/click/track?ai=8078&amp;sig=0d0df18&amp;sid=459&amp;ppid=105816087&amp;vpid=588299778&amp;ct=offers" TargetMode="External"/><Relationship Id="rId46" Type="http://schemas.openxmlformats.org/officeDocument/2006/relationships/hyperlink" Target="https://octopart.com/click/track?c=1&amp;ai=8078&amp;sig=08bce7d&amp;sid=2402&amp;ppid=105816087&amp;vpid=590389378&amp;ct=offers" TargetMode="External"/><Relationship Id="rId47" Type="http://schemas.openxmlformats.org/officeDocument/2006/relationships/hyperlink" Target="https://octopart.com/click/track?c=1&amp;ai=8078&amp;sig=0edc927&amp;sid=459&amp;ppid=105997623&amp;vpid=591768592&amp;ct=offers" TargetMode="External"/><Relationship Id="rId48" Type="http://schemas.openxmlformats.org/officeDocument/2006/relationships/hyperlink" Target="https://octopart.com/click/track?ai=8078&amp;sig=03c57a2&amp;sid=819&amp;ppid=112841476&amp;vpid=719411862&amp;ct=offers" TargetMode="External"/><Relationship Id="rId49" Type="http://schemas.openxmlformats.org/officeDocument/2006/relationships/hyperlink" Target="https://octopart.com/click/track?ai=8078&amp;sig=06411be&amp;sid=2401&amp;ppid=105997623&amp;vpid=719248982&amp;ct=offers" TargetMode="External"/><Relationship Id="rId50" Type="http://schemas.openxmlformats.org/officeDocument/2006/relationships/hyperlink" Target="https://octopart.com/click/track?ai=8078&amp;sig=0ff1c16&amp;sid=2402&amp;ppid=112841476&amp;vpid=663170683&amp;ct=offers" TargetMode="External"/><Relationship Id="rId51" Type="http://schemas.openxmlformats.org/officeDocument/2006/relationships/hyperlink" Target="https://octopart.com/click/track?c=1&amp;ai=8078&amp;sig=09080ce&amp;sid=459&amp;ppid=24622524&amp;vpid=198290237&amp;ct=offers" TargetMode="External"/><Relationship Id="rId52" Type="http://schemas.openxmlformats.org/officeDocument/2006/relationships/hyperlink" Target="https://octopart.com/click/track?c=1&amp;ai=8078&amp;sig=0f0e353&amp;sid=11744&amp;ppid=24622524&amp;vpid=132412812&amp;ct=offers" TargetMode="External"/><Relationship Id="rId53" Type="http://schemas.openxmlformats.org/officeDocument/2006/relationships/hyperlink" Target="https://octopart.com/click/track?ai=8078&amp;sig=00f43eb&amp;sid=27971&amp;ppid=24622524&amp;vpid=626924398&amp;ct=offers" TargetMode="External"/><Relationship Id="rId54" Type="http://schemas.openxmlformats.org/officeDocument/2006/relationships/hyperlink" Target="https://octopart.com/click/track?ai=8078&amp;sig=098b862&amp;sid=2401&amp;ppid=24622524&amp;vpid=90603827&amp;ct=offers" TargetMode="External"/><Relationship Id="rId55" Type="http://schemas.openxmlformats.org/officeDocument/2006/relationships/hyperlink" Target="https://octopart.com/click/track?c=1&amp;ai=8078&amp;sig=04945c4&amp;sid=2402&amp;ppid=24622524&amp;vpid=93860848&amp;ct=offers" TargetMode="External"/><Relationship Id="rId56" Type="http://schemas.openxmlformats.org/officeDocument/2006/relationships/hyperlink" Target="https://octopart.com/click/track?ai=8078&amp;sig=04279fd&amp;sid=10022&amp;ppid=24622524&amp;vpid=437517168&amp;ct=offers" TargetMode="External"/><Relationship Id="rId57" Type="http://schemas.openxmlformats.org/officeDocument/2006/relationships/hyperlink" Target="https://octopart.com/click/track?ai=8078&amp;sig=08299d8&amp;sid=1532&amp;ppid=24622524&amp;vpid=709093764&amp;ct=offers" TargetMode="External"/><Relationship Id="rId58" Type="http://schemas.openxmlformats.org/officeDocument/2006/relationships/hyperlink" Target="https://www.arrow.com/en/products/arjm11d7-502-ab-ew2/abracon" TargetMode="External"/><Relationship Id="rId59" Type="http://schemas.openxmlformats.org/officeDocument/2006/relationships/hyperlink" Target="https://octopart.com/click/track?ai=8078&amp;sig=01c1ac3&amp;sid=459&amp;ppid=86945328&amp;vpid=448212590&amp;ct=offers" TargetMode="External"/><Relationship Id="rId60" Type="http://schemas.openxmlformats.org/officeDocument/2006/relationships/hyperlink" Target="https://octopart.com/click/track?c=1&amp;ai=8078&amp;sig=0fa1fb7&amp;sid=2401&amp;ppid=86945328&amp;vpid=448036629&amp;ct=offers" TargetMode="External"/><Relationship Id="rId61" Type="http://schemas.openxmlformats.org/officeDocument/2006/relationships/hyperlink" Target="http://datasheet.octopart.com/SS-52100-001-Stewart-Connector-datasheet-137355466.pdf" TargetMode="External"/><Relationship Id="rId62" Type="http://schemas.openxmlformats.org/officeDocument/2006/relationships/hyperlink" Target="https://octopart.com/click/track?ai=8078&amp;sig=021decd&amp;sid=459&amp;ppid=87749556&amp;vpid=452839017&amp;ct=offers" TargetMode="External"/><Relationship Id="rId63" Type="http://schemas.openxmlformats.org/officeDocument/2006/relationships/hyperlink" Target="https://octopart.com/click/track?ai=8078&amp;sig=029b06e&amp;sid=11744&amp;ppid=87749556&amp;vpid=494604477&amp;ct=offers" TargetMode="External"/><Relationship Id="rId64" Type="http://schemas.openxmlformats.org/officeDocument/2006/relationships/hyperlink" Target="https://octopart.com/click/track?ai=8078&amp;sig=00c5dfc&amp;sid=2402&amp;ppid=87749556&amp;vpid=494772399&amp;ct=offers" TargetMode="External"/><Relationship Id="rId65" Type="http://schemas.openxmlformats.org/officeDocument/2006/relationships/hyperlink" Target="https://octopart.com/click/track?ai=8078&amp;sig=0658f7b&amp;sid=459&amp;ppid=29103149&amp;vpid=78654451&amp;ct=offers" TargetMode="External"/><Relationship Id="rId66" Type="http://schemas.openxmlformats.org/officeDocument/2006/relationships/hyperlink" Target="https://octopart.com/click/track?c=1&amp;ai=8078&amp;sig=03918b3&amp;sid=819&amp;ppid=29103149&amp;vpid=480311025&amp;ct=offers" TargetMode="External"/><Relationship Id="rId67" Type="http://schemas.openxmlformats.org/officeDocument/2006/relationships/hyperlink" Target="https://octopart.com/click/track?ai=8078&amp;sig=030130b&amp;sid=27971&amp;ppid=29103149&amp;vpid=511500494&amp;ct=offers" TargetMode="External"/><Relationship Id="rId68" Type="http://schemas.openxmlformats.org/officeDocument/2006/relationships/hyperlink" Target="https://octopart.com/click/track?ai=8078&amp;sig=0073b3e&amp;sid=2401&amp;ppid=29103149&amp;vpid=78500410&amp;ct=offers" TargetMode="External"/><Relationship Id="rId69" Type="http://schemas.openxmlformats.org/officeDocument/2006/relationships/hyperlink" Target="https://octopart.com/click/track?c=1&amp;ai=8078&amp;sig=09ab32c&amp;sid=2402&amp;ppid=29103149&amp;vpid=480447217&amp;ct=offers" TargetMode="External"/><Relationship Id="rId70" Type="http://schemas.openxmlformats.org/officeDocument/2006/relationships/hyperlink" Target="http://datasheet.octopart.com/MMUN2133LT1G-ON-Semiconductor-datasheet-15540255.pdf" TargetMode="External"/><Relationship Id="rId71" Type="http://schemas.openxmlformats.org/officeDocument/2006/relationships/hyperlink" Target="https://octopart.com/click/track?c=1&amp;ai=8078&amp;sig=09a8b22&amp;sid=459&amp;ppid=835052&amp;vpid=43965299&amp;ct=offers" TargetMode="External"/><Relationship Id="rId72" Type="http://schemas.openxmlformats.org/officeDocument/2006/relationships/hyperlink" Target="https://octopart.com/click/track?c=1&amp;ai=8078&amp;sig=0334f61&amp;sid=11744&amp;ppid=835052&amp;vpid=132546521&amp;ct=offers" TargetMode="External"/><Relationship Id="rId73" Type="http://schemas.openxmlformats.org/officeDocument/2006/relationships/hyperlink" Target="https://octopart.com/click/track?c=1&amp;ai=8078&amp;sig=039c06c&amp;sid=2401&amp;ppid=835052&amp;vpid=44862422&amp;ct=offers" TargetMode="External"/><Relationship Id="rId74" Type="http://schemas.openxmlformats.org/officeDocument/2006/relationships/hyperlink" Target="https://octopart.com/click/track?ai=8078&amp;sig=040191f&amp;sid=2402&amp;ppid=835052&amp;vpid=96444434&amp;ct=offers" TargetMode="External"/><Relationship Id="rId75" Type="http://schemas.openxmlformats.org/officeDocument/2006/relationships/hyperlink" Target="https://octopart.com/click/track?ai=8078&amp;sig=0448052&amp;sid=10022&amp;ppid=835052&amp;vpid=199086634&amp;ct=offers" TargetMode="External"/><Relationship Id="rId76" Type="http://schemas.openxmlformats.org/officeDocument/2006/relationships/hyperlink" Target="https://octopart.com/click/track?ai=8078&amp;sig=0b01ddb&amp;sid=1532&amp;ppid=835052&amp;vpid=709122103&amp;ct=offers" TargetMode="External"/><Relationship Id="rId77" Type="http://schemas.openxmlformats.org/officeDocument/2006/relationships/hyperlink" Target="https://octopart.com/click/track?ai=8078&amp;sig=085de8f&amp;sid=459&amp;ppid=1213422&amp;vpid=1420265&amp;ct=offers" TargetMode="External"/><Relationship Id="rId78" Type="http://schemas.openxmlformats.org/officeDocument/2006/relationships/hyperlink" Target="https://octopart.com/click/track?ai=8078&amp;sig=05927b0&amp;sid=2401&amp;ppid=1213422&amp;vpid=456373087&amp;ct=offers" TargetMode="External"/><Relationship Id="rId79" Type="http://schemas.openxmlformats.org/officeDocument/2006/relationships/hyperlink" Target="https://octopart.com/click/track?ai=8078&amp;sig=03101fb&amp;sid=459&amp;ppid=41205352&amp;vpid=114983436&amp;ct=offers" TargetMode="External"/><Relationship Id="rId80" Type="http://schemas.openxmlformats.org/officeDocument/2006/relationships/hyperlink" Target="https://octopart.com/click/track?ai=8078&amp;sig=099da72&amp;sid=819&amp;ppid=41205352&amp;vpid=653863977&amp;ct=offers" TargetMode="External"/><Relationship Id="rId81" Type="http://schemas.openxmlformats.org/officeDocument/2006/relationships/hyperlink" Target="https://octopart.com/click/track?c=1&amp;ai=8078&amp;sig=0d7668a&amp;sid=2401&amp;ppid=41205352&amp;vpid=116795769&amp;ct=offers" TargetMode="External"/><Relationship Id="rId82" Type="http://schemas.openxmlformats.org/officeDocument/2006/relationships/hyperlink" Target="https://octopart.com/click/track?ai=8078&amp;sig=01fc165&amp;sid=2402&amp;ppid=41205352&amp;vpid=655850625&amp;ct=offers" TargetMode="External"/><Relationship Id="rId83" Type="http://schemas.openxmlformats.org/officeDocument/2006/relationships/hyperlink" Target="https://octopart.com/click/track?ai=8078&amp;sig=0cd04e5&amp;sid=10022&amp;ppid=41205352&amp;vpid=694057690&amp;ct=offers" TargetMode="External"/><Relationship Id="rId84" Type="http://schemas.openxmlformats.org/officeDocument/2006/relationships/hyperlink" Target="https://octopart.com/click/track?ai=8078&amp;sig=0b497e4&amp;sid=1532&amp;ppid=41205352&amp;vpid=709258980&amp;ct=offers" TargetMode="External"/><Relationship Id="rId85" Type="http://schemas.openxmlformats.org/officeDocument/2006/relationships/hyperlink" Target="https://octopart.com/click/track?ai=8078&amp;sig=06913f7&amp;sid=459&amp;ppid=41842383&amp;vpid=115141651&amp;ct=offers" TargetMode="External"/><Relationship Id="rId86" Type="http://schemas.openxmlformats.org/officeDocument/2006/relationships/hyperlink" Target="https://octopart.com/click/track?ai=8078&amp;sig=025cd87&amp;sid=819&amp;ppid=41842383&amp;vpid=478819196&amp;ct=offers" TargetMode="External"/><Relationship Id="rId87" Type="http://schemas.openxmlformats.org/officeDocument/2006/relationships/hyperlink" Target="https://octopart.com/click/track?ai=8078&amp;sig=06f5748&amp;sid=2401&amp;ppid=41842383&amp;vpid=193535628&amp;ct=offers" TargetMode="External"/><Relationship Id="rId88" Type="http://schemas.openxmlformats.org/officeDocument/2006/relationships/hyperlink" Target="https://octopart.com/click/track?ai=8078&amp;sig=00005fe&amp;sid=2402&amp;ppid=41842383&amp;vpid=479779168&amp;ct=offers" TargetMode="External"/><Relationship Id="rId89" Type="http://schemas.openxmlformats.org/officeDocument/2006/relationships/hyperlink" Target="https://octopart.com/click/track?ai=8078&amp;sig=0a8a21a&amp;sid=10022&amp;ppid=41842383&amp;vpid=694057720&amp;ct=offers" TargetMode="External"/><Relationship Id="rId90" Type="http://schemas.openxmlformats.org/officeDocument/2006/relationships/hyperlink" Target="https://octopart.com/click/track?ai=8078&amp;sig=082b6e3&amp;sid=1532&amp;ppid=41842383&amp;vpid=709259132&amp;ct=offers" TargetMode="External"/><Relationship Id="rId91" Type="http://schemas.openxmlformats.org/officeDocument/2006/relationships/hyperlink" Target="https://octopart.com/click/track?ai=8078&amp;sig=033d2b6&amp;sid=459&amp;ppid=41455584&amp;vpid=115263624&amp;ct=offers" TargetMode="External"/><Relationship Id="rId92" Type="http://schemas.openxmlformats.org/officeDocument/2006/relationships/hyperlink" Target="https://octopart.com/click/track?ai=8078&amp;sig=0d53d55&amp;sid=11744&amp;ppid=41455584&amp;vpid=478973853&amp;ct=offers" TargetMode="External"/><Relationship Id="rId93" Type="http://schemas.openxmlformats.org/officeDocument/2006/relationships/hyperlink" Target="https://octopart.com/click/track?ai=8078&amp;sig=056baec&amp;sid=2401&amp;ppid=41455584&amp;vpid=119386957&amp;ct=offers" TargetMode="External"/><Relationship Id="rId94" Type="http://schemas.openxmlformats.org/officeDocument/2006/relationships/hyperlink" Target="https://octopart.com/click/track?ai=8078&amp;sig=02f649a&amp;sid=2402&amp;ppid=41455584&amp;vpid=115424481&amp;ct=offers" TargetMode="External"/><Relationship Id="rId95" Type="http://schemas.openxmlformats.org/officeDocument/2006/relationships/hyperlink" Target="https://octopart.com/click/track?ai=8078&amp;sig=0fab533&amp;sid=1532&amp;ppid=41455584&amp;vpid=709258951&amp;ct=offers" TargetMode="External"/><Relationship Id="rId96" Type="http://schemas.openxmlformats.org/officeDocument/2006/relationships/hyperlink" Target="https://octopart.com/click/track?ai=8078&amp;sig=0317ac5&amp;sid=459&amp;ppid=55423519&amp;vpid=188064407&amp;ct=offers" TargetMode="External"/><Relationship Id="rId97" Type="http://schemas.openxmlformats.org/officeDocument/2006/relationships/hyperlink" Target="https://octopart.com/click/track?c=1&amp;ai=8078&amp;sig=02b0cba&amp;sid=11744&amp;ppid=55423519&amp;vpid=183086409&amp;ct=offers" TargetMode="External"/><Relationship Id="rId98" Type="http://schemas.openxmlformats.org/officeDocument/2006/relationships/hyperlink" Target="https://octopart.com/click/track?ai=8078&amp;sig=09f39da&amp;sid=2401&amp;ppid=55423519&amp;vpid=193024624&amp;ct=offers" TargetMode="External"/><Relationship Id="rId99" Type="http://schemas.openxmlformats.org/officeDocument/2006/relationships/hyperlink" Target="https://octopart.com/click/track?ai=8078&amp;sig=0d848d1&amp;sid=2402&amp;ppid=55423519&amp;vpid=191372423&amp;ct=offers" TargetMode="External"/><Relationship Id="rId100" Type="http://schemas.openxmlformats.org/officeDocument/2006/relationships/hyperlink" Target="https://octopart.com/click/track?ai=8078&amp;sig=030a76f&amp;sid=459&amp;ppid=41205580&amp;vpid=114983497&amp;ct=offers" TargetMode="External"/><Relationship Id="rId101" Type="http://schemas.openxmlformats.org/officeDocument/2006/relationships/hyperlink" Target="https://octopart.com/click/track?ai=8078&amp;sig=0c4e006&amp;sid=819&amp;ppid=41205580&amp;vpid=478819231&amp;ct=offers" TargetMode="External"/><Relationship Id="rId102" Type="http://schemas.openxmlformats.org/officeDocument/2006/relationships/hyperlink" Target="https://octopart.com/click/track?c=1&amp;ai=8078&amp;sig=04518df&amp;sid=2401&amp;ppid=41205580&amp;vpid=115837051&amp;ct=offers" TargetMode="External"/><Relationship Id="rId103" Type="http://schemas.openxmlformats.org/officeDocument/2006/relationships/hyperlink" Target="https://octopart.com/click/track?ai=8078&amp;sig=0c0f1d8&amp;sid=2402&amp;ppid=41205580&amp;vpid=115424528&amp;ct=offers" TargetMode="External"/><Relationship Id="rId104" Type="http://schemas.openxmlformats.org/officeDocument/2006/relationships/hyperlink" Target="https://octopart.com/click/track?ai=8078&amp;sig=0ff0fd2&amp;sid=1532&amp;ppid=41205580&amp;vpid=709259285&amp;ct=offers" TargetMode="External"/><Relationship Id="rId105" Type="http://schemas.openxmlformats.org/officeDocument/2006/relationships/hyperlink" Target="https://fscdn.rohm.com/en/products/databook/datasheet/passive/resistor/chip_resistor/mcr-e.pdf" TargetMode="External"/><Relationship Id="rId106" Type="http://schemas.openxmlformats.org/officeDocument/2006/relationships/hyperlink" Target="https://octopart.com/click/track?ai=8078&amp;sig=0829750&amp;sid=459&amp;ppid=1286999&amp;vpid=1796617&amp;ct=offers" TargetMode="External"/><Relationship Id="rId107" Type="http://schemas.openxmlformats.org/officeDocument/2006/relationships/hyperlink" Target="https://octopart.com/click/track?ai=8078&amp;sig=00ee780&amp;sid=819&amp;ppid=1286999&amp;vpid=653864109&amp;ct=offers" TargetMode="External"/><Relationship Id="rId108" Type="http://schemas.openxmlformats.org/officeDocument/2006/relationships/hyperlink" Target="https://octopart.com/click/track?ai=8078&amp;sig=006305f&amp;sid=2401&amp;ppid=1286999&amp;vpid=57612349&amp;ct=offers" TargetMode="External"/><Relationship Id="rId109" Type="http://schemas.openxmlformats.org/officeDocument/2006/relationships/hyperlink" Target="https://octopart.com/click/track?ai=8078&amp;sig=02653f1&amp;sid=2402&amp;ppid=1286999&amp;vpid=655850690&amp;ct=offers" TargetMode="External"/><Relationship Id="rId110" Type="http://schemas.openxmlformats.org/officeDocument/2006/relationships/hyperlink" Target="https://octopart.com/click/track?ai=8078&amp;sig=06802a4&amp;sid=1532&amp;ppid=1286999&amp;vpid=709259225&amp;ct=offers" TargetMode="External"/><Relationship Id="rId111" Type="http://schemas.openxmlformats.org/officeDocument/2006/relationships/hyperlink" Target="https://fscdn.rohm.com/en/products/databook/datasheet/passive/resistor/chip_resistor/mcr-e.pdf" TargetMode="External"/><Relationship Id="rId112" Type="http://schemas.openxmlformats.org/officeDocument/2006/relationships/hyperlink" Target="https://octopart.com/click/track?ai=8078&amp;sig=03101fb&amp;sid=459&amp;ppid=41205352&amp;vpid=114983436&amp;ct=offers" TargetMode="External"/><Relationship Id="rId113" Type="http://schemas.openxmlformats.org/officeDocument/2006/relationships/hyperlink" Target="https://octopart.com/click/track?ai=8078&amp;sig=099da72&amp;sid=819&amp;ppid=41205352&amp;vpid=653863977&amp;ct=offers" TargetMode="External"/><Relationship Id="rId114" Type="http://schemas.openxmlformats.org/officeDocument/2006/relationships/hyperlink" Target="https://octopart.com/click/track?c=1&amp;ai=8078&amp;sig=0d7668a&amp;sid=2401&amp;ppid=41205352&amp;vpid=116795769&amp;ct=offers" TargetMode="External"/><Relationship Id="rId115" Type="http://schemas.openxmlformats.org/officeDocument/2006/relationships/hyperlink" Target="https://octopart.com/click/track?ai=8078&amp;sig=01fc165&amp;sid=2402&amp;ppid=41205352&amp;vpid=655850625&amp;ct=offers" TargetMode="External"/><Relationship Id="rId116" Type="http://schemas.openxmlformats.org/officeDocument/2006/relationships/hyperlink" Target="https://octopart.com/click/track?ai=8078&amp;sig=0cd04e5&amp;sid=10022&amp;ppid=41205352&amp;vpid=694057690&amp;ct=offers" TargetMode="External"/><Relationship Id="rId117" Type="http://schemas.openxmlformats.org/officeDocument/2006/relationships/hyperlink" Target="https://octopart.com/click/track?ai=8078&amp;sig=0b497e4&amp;sid=1532&amp;ppid=41205352&amp;vpid=709258980&amp;ct=offers" TargetMode="External"/><Relationship Id="rId118" Type="http://schemas.openxmlformats.org/officeDocument/2006/relationships/hyperlink" Target="https://octopart.com/click/track?ai=8078&amp;sig=04e1300&amp;sid=459&amp;ppid=19215592&amp;vpid=262496201&amp;ct=offers" TargetMode="External"/><Relationship Id="rId119" Type="http://schemas.openxmlformats.org/officeDocument/2006/relationships/hyperlink" Target="https://octopart.com/click/track?ai=8078&amp;sig=0ea8834&amp;sid=459&amp;ppid=41455609&amp;vpid=119996755&amp;ct=offers" TargetMode="External"/><Relationship Id="rId120" Type="http://schemas.openxmlformats.org/officeDocument/2006/relationships/hyperlink" Target="https://octopart.com/click/track?ai=8078&amp;sig=00973ad&amp;sid=819&amp;ppid=41455609&amp;vpid=653864013&amp;ct=offers" TargetMode="External"/><Relationship Id="rId121" Type="http://schemas.openxmlformats.org/officeDocument/2006/relationships/hyperlink" Target="https://octopart.com/click/track?ai=8078&amp;sig=0bd9635&amp;sid=2401&amp;ppid=41455609&amp;vpid=116126381&amp;ct=offers" TargetMode="External"/><Relationship Id="rId122" Type="http://schemas.openxmlformats.org/officeDocument/2006/relationships/hyperlink" Target="https://octopart.com/click/track?ai=8078&amp;sig=0b93a8b&amp;sid=2402&amp;ppid=41455609&amp;vpid=655850642&amp;ct=offers" TargetMode="External"/><Relationship Id="rId123" Type="http://schemas.openxmlformats.org/officeDocument/2006/relationships/hyperlink" Target="https://octopart.com/click/track?ai=8078&amp;sig=0537750&amp;sid=10022&amp;ppid=41455609&amp;vpid=694057708&amp;ct=offers" TargetMode="External"/><Relationship Id="rId124" Type="http://schemas.openxmlformats.org/officeDocument/2006/relationships/hyperlink" Target="https://octopart.com/click/track?ai=8078&amp;sig=08de2f6&amp;sid=1532&amp;ppid=41455609&amp;vpid=709259065&amp;ct=offers" TargetMode="External"/><Relationship Id="rId125" Type="http://schemas.openxmlformats.org/officeDocument/2006/relationships/hyperlink" Target="https://octopart.com/click/track?ai=8078&amp;sig=09e7d17&amp;sid=459&amp;ppid=40946149&amp;vpid=114983448&amp;ct=offers" TargetMode="External"/><Relationship Id="rId126" Type="http://schemas.openxmlformats.org/officeDocument/2006/relationships/hyperlink" Target="https://octopart.com/click/track?ai=8078&amp;sig=0e25d4f&amp;sid=819&amp;ppid=40946149&amp;vpid=508509935&amp;ct=offers" TargetMode="External"/><Relationship Id="rId127" Type="http://schemas.openxmlformats.org/officeDocument/2006/relationships/hyperlink" Target="https://octopart.com/click/track?c=1&amp;ai=8078&amp;sig=01c3f96&amp;sid=2401&amp;ppid=40946149&amp;vpid=118691149&amp;ct=offers" TargetMode="External"/><Relationship Id="rId128" Type="http://schemas.openxmlformats.org/officeDocument/2006/relationships/hyperlink" Target="https://octopart.com/click/track?ai=8078&amp;sig=00f4114&amp;sid=2402&amp;ppid=40946149&amp;vpid=20052036&amp;ct=offers" TargetMode="External"/><Relationship Id="rId129" Type="http://schemas.openxmlformats.org/officeDocument/2006/relationships/hyperlink" Target="https://octopart.com/click/track?ai=8078&amp;sig=00422e9&amp;sid=10022&amp;ppid=40946149&amp;vpid=199200554&amp;ct=offers" TargetMode="External"/><Relationship Id="rId130" Type="http://schemas.openxmlformats.org/officeDocument/2006/relationships/hyperlink" Target="https://octopart.com/click/track?ai=8078&amp;sig=0185754&amp;sid=1532&amp;ppid=40946149&amp;vpid=709259043&amp;ct=offers" TargetMode="External"/><Relationship Id="rId131" Type="http://schemas.openxmlformats.org/officeDocument/2006/relationships/hyperlink" Target="https://octopart.com/click/track?ai=8078&amp;sig=07648b6&amp;sid=459&amp;ppid=19215378&amp;vpid=34422835&amp;ct=offers" TargetMode="External"/><Relationship Id="rId132" Type="http://schemas.openxmlformats.org/officeDocument/2006/relationships/hyperlink" Target="https://octopart.com/click/track?c=1&amp;ai=8078&amp;sig=006843c&amp;sid=459&amp;ppid=439859&amp;vpid=1825699&amp;ct=offers" TargetMode="External"/><Relationship Id="rId133" Type="http://schemas.openxmlformats.org/officeDocument/2006/relationships/hyperlink" Target="https://octopart.com/click/track?c=1&amp;ai=8078&amp;sig=0848a4c&amp;sid=2401&amp;ppid=439859&amp;vpid=37993250&amp;ct=offers" TargetMode="External"/><Relationship Id="rId134" Type="http://schemas.openxmlformats.org/officeDocument/2006/relationships/hyperlink" Target="https://octopart.com/click/track?ai=8078&amp;sig=08f508a&amp;sid=10022&amp;ppid=439859&amp;vpid=501371476&amp;ct=offers" TargetMode="External"/><Relationship Id="rId135" Type="http://schemas.openxmlformats.org/officeDocument/2006/relationships/hyperlink" Target="http://www.ti.com/lit/sg/scyt129e/scyt129e.pdf" TargetMode="External"/><Relationship Id="rId136" Type="http://schemas.openxmlformats.org/officeDocument/2006/relationships/hyperlink" Target="https://octopart.com/click/track?c=1&amp;ai=8078&amp;sig=06211a9&amp;sid=459&amp;ppid=18882698&amp;vpid=34039428&amp;ct=offers" TargetMode="External"/><Relationship Id="rId137" Type="http://schemas.openxmlformats.org/officeDocument/2006/relationships/hyperlink" Target="https://octopart.com/click/track?ai=8078&amp;sig=0cca1a7&amp;sid=11744&amp;ppid=18882698&amp;vpid=132236742&amp;ct=offers" TargetMode="External"/><Relationship Id="rId138" Type="http://schemas.openxmlformats.org/officeDocument/2006/relationships/hyperlink" Target="https://octopart.com/click/track?c=1&amp;ai=8078&amp;sig=05ccfae&amp;sid=2401&amp;ppid=18882698&amp;vpid=104881505&amp;ct=offers" TargetMode="External"/><Relationship Id="rId139" Type="http://schemas.openxmlformats.org/officeDocument/2006/relationships/hyperlink" Target="https://octopart.com/click/track?ai=8078&amp;sig=0972dc9&amp;sid=2402&amp;ppid=18882698&amp;vpid=33514210&amp;ct=offers" TargetMode="External"/><Relationship Id="rId140" Type="http://schemas.openxmlformats.org/officeDocument/2006/relationships/hyperlink" Target="https://octopart.com/click/track?ai=8078&amp;sig=08c44ac&amp;sid=10022&amp;ppid=18882698&amp;vpid=199007206&amp;ct=offers" TargetMode="External"/><Relationship Id="rId141" Type="http://schemas.openxmlformats.org/officeDocument/2006/relationships/hyperlink" Target="https://octopart.com/click/track?ai=8078&amp;sig=0d8298d&amp;sid=1532&amp;ppid=18882698&amp;vpid=707843330&amp;ct=offers" TargetMode="External"/><Relationship Id="rId142" Type="http://schemas.openxmlformats.org/officeDocument/2006/relationships/hyperlink" Target="https://www.richtek.com/assets/product_file/RT9742/DS9742-00.pdf" TargetMode="External"/><Relationship Id="rId143" Type="http://schemas.openxmlformats.org/officeDocument/2006/relationships/hyperlink" Target="https://octopart.com/click/track?c=1&amp;ai=8078&amp;sig=0371a2f&amp;sid=459&amp;ppid=112268641&amp;vpid=658695478&amp;ct=offers" TargetMode="External"/><Relationship Id="rId144" Type="http://schemas.openxmlformats.org/officeDocument/2006/relationships/hyperlink" Target="https://www.richtek.com/assets/product_file/RT9742/DS9742-00.pdf" TargetMode="External"/><Relationship Id="rId145" Type="http://schemas.openxmlformats.org/officeDocument/2006/relationships/hyperlink" Target="https://octopart.com/click/track?c=1&amp;ai=8078&amp;sig=0771645&amp;sid=459&amp;ppid=71327080&amp;vpid=253366032&amp;ct=offers" TargetMode="External"/><Relationship Id="rId146" Type="http://schemas.openxmlformats.org/officeDocument/2006/relationships/hyperlink" Target="https://octopart.com/click/track?c=1&amp;ai=8078&amp;sig=0f51fd4&amp;sid=819&amp;ppid=71327080&amp;vpid=629188425&amp;ct=offers" TargetMode="External"/><Relationship Id="rId147" Type="http://schemas.openxmlformats.org/officeDocument/2006/relationships/hyperlink" Target="http://www.ti.com/lit/ds/symlink/tpd2eusb30a.pdf" TargetMode="External"/><Relationship Id="rId148" Type="http://schemas.openxmlformats.org/officeDocument/2006/relationships/hyperlink" Target="https://octopart.com/click/track?c=1&amp;ai=8078&amp;sig=0c92218&amp;sid=459&amp;ppid=18911853&amp;vpid=34763580&amp;ct=offers" TargetMode="External"/><Relationship Id="rId149" Type="http://schemas.openxmlformats.org/officeDocument/2006/relationships/hyperlink" Target="https://octopart.com/click/track?c=1&amp;ai=8078&amp;sig=06e8888&amp;sid=11744&amp;ppid=18911853&amp;vpid=584721523&amp;ct=offers" TargetMode="External"/><Relationship Id="rId150" Type="http://schemas.openxmlformats.org/officeDocument/2006/relationships/hyperlink" Target="https://octopart.com/click/track?c=1&amp;ai=8078&amp;sig=0a0a8f4&amp;sid=2401&amp;ppid=18911853&amp;vpid=45874216&amp;ct=offers" TargetMode="External"/><Relationship Id="rId151" Type="http://schemas.openxmlformats.org/officeDocument/2006/relationships/hyperlink" Target="https://octopart.com/click/track?c=1&amp;ai=8078&amp;sig=04dacd7&amp;sid=2402&amp;ppid=18911853&amp;vpid=585373804&amp;ct=offers" TargetMode="External"/><Relationship Id="rId152" Type="http://schemas.openxmlformats.org/officeDocument/2006/relationships/hyperlink" Target="http://datasheet.octopart.com/USB2504A-JT-Microchip-datasheet-32866649.pdf" TargetMode="External"/><Relationship Id="rId153" Type="http://schemas.openxmlformats.org/officeDocument/2006/relationships/hyperlink" Target="https://octopart.com/click/track?ai=8078&amp;sig=0f5dd5f&amp;sid=459&amp;ppid=24995406&amp;vpid=61166254&amp;ct=offers" TargetMode="External"/><Relationship Id="rId154" Type="http://schemas.openxmlformats.org/officeDocument/2006/relationships/hyperlink" Target="https://octopart.com/click/track?c=1&amp;ai=8078&amp;sig=00c02ac&amp;sid=819&amp;ppid=24995406&amp;vpid=203208733&amp;ct=offers" TargetMode="External"/><Relationship Id="rId155" Type="http://schemas.openxmlformats.org/officeDocument/2006/relationships/hyperlink" Target="https://octopart.com/click/track?c=1&amp;ai=8078&amp;sig=06f164d&amp;sid=2401&amp;ppid=24995406&amp;vpid=60321633&amp;ct=offers" TargetMode="External"/><Relationship Id="rId156" Type="http://schemas.openxmlformats.org/officeDocument/2006/relationships/hyperlink" Target="https://octopart.com/click/track?c=1&amp;ai=8078&amp;sig=0547bae&amp;sid=2402&amp;ppid=24995406&amp;vpid=96336948&amp;ct=offers" TargetMode="External"/><Relationship Id="rId157" Type="http://schemas.openxmlformats.org/officeDocument/2006/relationships/hyperlink" Target="https://octopart.com/click/track?ai=8078&amp;sig=0fdd5ac&amp;sid=459&amp;ppid=91994141&amp;vpid=481973423&amp;ct=offers" TargetMode="External"/><Relationship Id="rId158" Type="http://schemas.openxmlformats.org/officeDocument/2006/relationships/hyperlink" Target="https://octopart.com/click/track?ai=8078&amp;sig=06fa616&amp;sid=10022&amp;ppid=91994141&amp;vpid=756979888&amp;ct=offers" TargetMode="External"/><Relationship Id="rId159" Type="http://schemas.openxmlformats.org/officeDocument/2006/relationships/vmlDrawing" Target="../drawings/vmlDrawing1.vml"/><Relationship Id="rId160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W93"/>
  <sheetViews>
    <sheetView tabSelected="1" workbookViewId="0">
      <pane xSplit="9" ySplit="6" topLeftCell="J7" activePane="bottomRight" state="frozen"/>
      <selection pane="topRight" activeCell="J1" sqref="J1"/>
      <selection pane="bottomLeft" activeCell="A7" sqref="A7"/>
      <selection pane="bottomRight"/>
    </sheetView>
  </sheetViews>
  <sheetFormatPr defaultRowHeight="15" outlineLevelCol="2"/>
  <cols>
    <col min="1" max="1" width="9.140625"/>
    <col min="2" max="2" width="9.140625"/>
    <col min="3" max="3" width="9.140625" outlineLevel="2"/>
    <col min="4" max="4" width="9.140625" outlineLevel="2"/>
    <col min="5" max="5" width="9.140625" outlineLevel="1"/>
    <col min="6" max="6" width="9.140625" outlineLevel="1"/>
    <col min="7" max="7" width="9.140625" outlineLevel="1"/>
    <col min="8" max="8" width="9.140625"/>
    <col min="9" max="9" width="15.7109375" customWidth="1"/>
    <col min="10" max="10" width="9.140625" outlineLevel="1"/>
    <col min="11" max="11" width="9.140625" outlineLevel="2"/>
    <col min="12" max="12" width="9.140625" outlineLevel="2"/>
    <col min="13" max="13" width="15.7109375" customWidth="1"/>
    <col min="14" max="14" width="15.7109375" customWidth="1" outlineLevel="2"/>
    <col min="15" max="15" width="9.140625" outlineLevel="1"/>
    <col min="16" max="16" width="9.140625" outlineLevel="2"/>
    <col min="17" max="17" width="9.140625" outlineLevel="2"/>
    <col min="18" max="18" width="15.7109375" customWidth="1"/>
    <col min="19" max="19" width="15.7109375" customWidth="1" outlineLevel="2"/>
    <col min="20" max="20" width="9.140625" outlineLevel="1"/>
    <col min="21" max="21" width="9.140625" outlineLevel="2"/>
    <col min="22" max="22" width="9.140625" outlineLevel="2"/>
    <col min="23" max="23" width="15.7109375" customWidth="1"/>
    <col min="24" max="24" width="15.7109375" customWidth="1" outlineLevel="2"/>
    <col min="25" max="25" width="9.140625" outlineLevel="1"/>
    <col min="26" max="26" width="9.140625" outlineLevel="2"/>
    <col min="27" max="27" width="9.140625" outlineLevel="2"/>
    <col min="28" max="28" width="15.7109375" customWidth="1"/>
    <col min="29" max="29" width="15.7109375" customWidth="1" outlineLevel="2"/>
    <col min="30" max="30" width="9.140625" outlineLevel="1"/>
    <col min="31" max="31" width="9.140625" outlineLevel="2"/>
    <col min="32" max="32" width="9.140625" outlineLevel="2"/>
    <col min="33" max="33" width="15.7109375" customWidth="1"/>
    <col min="34" max="34" width="15.7109375" customWidth="1" outlineLevel="2"/>
    <col min="35" max="35" width="9.140625" outlineLevel="1"/>
    <col min="36" max="36" width="9.140625" outlineLevel="2"/>
    <col min="37" max="37" width="9.140625" outlineLevel="2"/>
    <col min="38" max="38" width="15.7109375" customWidth="1"/>
    <col min="39" max="39" width="15.7109375" customWidth="1" outlineLevel="2"/>
    <col min="40" max="40" width="9.140625" outlineLevel="1"/>
    <col min="41" max="41" width="9.140625" outlineLevel="2"/>
    <col min="42" max="42" width="9.140625" outlineLevel="2"/>
    <col min="43" max="43" width="15.7109375" customWidth="1"/>
    <col min="44" max="44" width="15.7109375" customWidth="1" outlineLevel="2"/>
    <col min="45" max="45" width="9.140625" outlineLevel="1"/>
    <col min="46" max="46" width="9.140625" outlineLevel="2"/>
    <col min="47" max="47" width="9.140625" outlineLevel="2"/>
    <col min="48" max="48" width="15.7109375" customWidth="1"/>
    <col min="49" max="49" width="15.7109375" customWidth="1" outlineLevel="2"/>
  </cols>
  <sheetData>
    <row r="1" spans="1:49">
      <c r="A1" s="1" t="s">
        <v>154</v>
      </c>
      <c r="B1" s="2" t="s">
        <v>155</v>
      </c>
      <c r="H1" s="3" t="s">
        <v>159</v>
      </c>
      <c r="I1" s="3">
        <v>100</v>
      </c>
    </row>
    <row r="2" spans="1:49">
      <c r="A2" s="1" t="s">
        <v>156</v>
      </c>
      <c r="B2" s="2"/>
      <c r="H2" s="1" t="s">
        <v>161</v>
      </c>
      <c r="I2" s="4">
        <f>TotalCost/BoardQty</f>
        <v>0</v>
      </c>
    </row>
    <row r="3" spans="1:49">
      <c r="A3" s="1" t="s">
        <v>157</v>
      </c>
      <c r="B3" s="2" t="s">
        <v>158</v>
      </c>
      <c r="H3" s="1" t="s">
        <v>160</v>
      </c>
      <c r="I3" s="5">
        <f>SUM(I7:I48)</f>
        <v>0</v>
      </c>
      <c r="M3" s="5">
        <f>SUM(M7:M48)</f>
        <v>0</v>
      </c>
      <c r="N3" s="6">
        <f>(COUNTA(M7:M48)&amp;" of "&amp;ROWS(M7:M48)&amp;" parts found"</f>
        <v>0</v>
      </c>
      <c r="R3" s="5">
        <f>SUM(R7:R48)</f>
        <v>0</v>
      </c>
      <c r="S3" s="6">
        <f>(COUNTA(R7:R48)&amp;" of "&amp;ROWS(R7:R48)&amp;" parts found"</f>
        <v>0</v>
      </c>
      <c r="W3" s="5">
        <f>SUM(W7:W48)</f>
        <v>0</v>
      </c>
      <c r="X3" s="6">
        <f>(COUNTA(W7:W48)&amp;" of "&amp;ROWS(W7:W48)&amp;" parts found"</f>
        <v>0</v>
      </c>
      <c r="AB3" s="5">
        <f>SUM(AB7:AB48)</f>
        <v>0</v>
      </c>
      <c r="AC3" s="6">
        <f>(COUNTA(AB7:AB48)&amp;" of "&amp;ROWS(AB7:AB48)&amp;" parts found"</f>
        <v>0</v>
      </c>
      <c r="AG3" s="5">
        <f>SUM(AG7:AG48)</f>
        <v>0</v>
      </c>
      <c r="AH3" s="6">
        <f>(COUNTA(AG7:AG48)&amp;" of "&amp;ROWS(AG7:AG48)&amp;" parts found"</f>
        <v>0</v>
      </c>
      <c r="AL3" s="5">
        <f>SUM(AL7:AL48)</f>
        <v>0</v>
      </c>
      <c r="AM3" s="6">
        <f>(COUNTA(AL7:AL48)&amp;" of "&amp;ROWS(AL7:AL48)&amp;" parts found"</f>
        <v>0</v>
      </c>
      <c r="AQ3" s="5">
        <f>SUM(AQ7:AQ48)</f>
        <v>0</v>
      </c>
      <c r="AR3" s="6">
        <f>(COUNTA(AQ7:AQ48)&amp;" of "&amp;ROWS(AQ7:AQ48)&amp;" parts found"</f>
        <v>0</v>
      </c>
      <c r="AV3" s="5">
        <f>SUM(AV7:AV48)</f>
        <v>0</v>
      </c>
      <c r="AW3" s="6">
        <f>(COUNTA(AV7:AV48)&amp;" of "&amp;ROWS(AV7:AV48)&amp;" parts found"</f>
        <v>0</v>
      </c>
    </row>
    <row r="4" spans="1:49">
      <c r="A4" s="1" t="s">
        <v>162</v>
      </c>
      <c r="B4" s="2" t="s">
        <v>163</v>
      </c>
    </row>
    <row r="5" spans="1:49">
      <c r="A5" s="7" t="s">
        <v>0</v>
      </c>
      <c r="B5" s="7"/>
      <c r="C5" s="7"/>
      <c r="D5" s="7"/>
      <c r="E5" s="7"/>
      <c r="F5" s="7"/>
      <c r="G5" s="7"/>
      <c r="H5" s="7"/>
      <c r="I5" s="7"/>
      <c r="J5" s="8" t="s">
        <v>164</v>
      </c>
      <c r="K5" s="8"/>
      <c r="L5" s="8"/>
      <c r="M5" s="8"/>
      <c r="N5" s="8"/>
      <c r="O5" s="9" t="s">
        <v>168</v>
      </c>
      <c r="P5" s="9"/>
      <c r="Q5" s="9"/>
      <c r="R5" s="9"/>
      <c r="S5" s="9"/>
      <c r="T5" s="10" t="s">
        <v>207</v>
      </c>
      <c r="U5" s="10"/>
      <c r="V5" s="10"/>
      <c r="W5" s="10"/>
      <c r="X5" s="10"/>
      <c r="Y5" s="11" t="s">
        <v>230</v>
      </c>
      <c r="Z5" s="11"/>
      <c r="AA5" s="11"/>
      <c r="AB5" s="11"/>
      <c r="AC5" s="11"/>
      <c r="AD5" s="12" t="s">
        <v>236</v>
      </c>
      <c r="AE5" s="12"/>
      <c r="AF5" s="12"/>
      <c r="AG5" s="12"/>
      <c r="AH5" s="12"/>
      <c r="AI5" s="13" t="s">
        <v>264</v>
      </c>
      <c r="AJ5" s="13"/>
      <c r="AK5" s="13"/>
      <c r="AL5" s="13"/>
      <c r="AM5" s="13"/>
      <c r="AN5" s="14" t="s">
        <v>286</v>
      </c>
      <c r="AO5" s="14"/>
      <c r="AP5" s="14"/>
      <c r="AQ5" s="14"/>
      <c r="AR5" s="14"/>
      <c r="AS5" s="15" t="s">
        <v>302</v>
      </c>
      <c r="AT5" s="15"/>
      <c r="AU5" s="15"/>
      <c r="AV5" s="15"/>
      <c r="AW5" s="15"/>
    </row>
    <row r="6" spans="1:49">
      <c r="A6" s="16" t="s">
        <v>1</v>
      </c>
      <c r="B6" s="16" t="s">
        <v>2</v>
      </c>
      <c r="C6" s="16" t="s">
        <v>3</v>
      </c>
      <c r="D6" s="16" t="s">
        <v>4</v>
      </c>
      <c r="E6" s="16" t="s">
        <v>5</v>
      </c>
      <c r="F6" s="16" t="s">
        <v>6</v>
      </c>
      <c r="G6" s="16" t="s">
        <v>7</v>
      </c>
      <c r="H6" s="16" t="s">
        <v>8</v>
      </c>
      <c r="I6" s="16" t="s">
        <v>9</v>
      </c>
      <c r="J6" s="16" t="s">
        <v>165</v>
      </c>
      <c r="K6" s="16" t="s">
        <v>166</v>
      </c>
      <c r="L6" s="16" t="s">
        <v>8</v>
      </c>
      <c r="M6" s="16" t="s">
        <v>9</v>
      </c>
      <c r="N6" s="16" t="s">
        <v>167</v>
      </c>
      <c r="O6" s="16" t="s">
        <v>165</v>
      </c>
      <c r="P6" s="16" t="s">
        <v>166</v>
      </c>
      <c r="Q6" s="16" t="s">
        <v>8</v>
      </c>
      <c r="R6" s="16" t="s">
        <v>9</v>
      </c>
      <c r="S6" s="16" t="s">
        <v>167</v>
      </c>
      <c r="T6" s="16" t="s">
        <v>165</v>
      </c>
      <c r="U6" s="16" t="s">
        <v>166</v>
      </c>
      <c r="V6" s="16" t="s">
        <v>8</v>
      </c>
      <c r="W6" s="16" t="s">
        <v>9</v>
      </c>
      <c r="X6" s="16" t="s">
        <v>167</v>
      </c>
      <c r="Y6" s="16" t="s">
        <v>165</v>
      </c>
      <c r="Z6" s="16" t="s">
        <v>166</v>
      </c>
      <c r="AA6" s="16" t="s">
        <v>8</v>
      </c>
      <c r="AB6" s="16" t="s">
        <v>9</v>
      </c>
      <c r="AC6" s="16" t="s">
        <v>167</v>
      </c>
      <c r="AD6" s="16" t="s">
        <v>165</v>
      </c>
      <c r="AE6" s="16" t="s">
        <v>166</v>
      </c>
      <c r="AF6" s="16" t="s">
        <v>8</v>
      </c>
      <c r="AG6" s="16" t="s">
        <v>9</v>
      </c>
      <c r="AH6" s="16" t="s">
        <v>167</v>
      </c>
      <c r="AI6" s="16" t="s">
        <v>165</v>
      </c>
      <c r="AJ6" s="16" t="s">
        <v>166</v>
      </c>
      <c r="AK6" s="16" t="s">
        <v>8</v>
      </c>
      <c r="AL6" s="16" t="s">
        <v>9</v>
      </c>
      <c r="AM6" s="16" t="s">
        <v>167</v>
      </c>
      <c r="AN6" s="16" t="s">
        <v>165</v>
      </c>
      <c r="AO6" s="16" t="s">
        <v>166</v>
      </c>
      <c r="AP6" s="16" t="s">
        <v>8</v>
      </c>
      <c r="AQ6" s="16" t="s">
        <v>9</v>
      </c>
      <c r="AR6" s="16" t="s">
        <v>167</v>
      </c>
      <c r="AS6" s="16" t="s">
        <v>165</v>
      </c>
      <c r="AT6" s="16" t="s">
        <v>166</v>
      </c>
      <c r="AU6" s="16" t="s">
        <v>8</v>
      </c>
      <c r="AV6" s="16" t="s">
        <v>9</v>
      </c>
      <c r="AW6" s="16" t="s">
        <v>167</v>
      </c>
    </row>
    <row r="7" spans="1:49">
      <c r="A7" s="17" t="s">
        <v>10</v>
      </c>
      <c r="B7" s="17" t="s">
        <v>11</v>
      </c>
      <c r="C7" s="17" t="s">
        <v>12</v>
      </c>
      <c r="D7" s="17" t="s">
        <v>13</v>
      </c>
      <c r="F7" s="17" t="s">
        <v>14</v>
      </c>
      <c r="G7" s="17">
        <f>BoardQty*1</f>
        <v>0</v>
      </c>
      <c r="H7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7" s="18">
        <f>iferror(G7*H7,"")</f>
        <v>0</v>
      </c>
      <c r="O7" s="19" t="s">
        <v>170</v>
      </c>
      <c r="Q7" s="18">
        <f>iferror(lookup(if(P7="",G7,P7),{0,1,10,100,500,1000,5000,10000},{0.0,0.17,0.136,0.1002,0.08288,0.07252,0.06216,0.06044}),"")</f>
        <v>0</v>
      </c>
      <c r="R7" s="18">
        <f>iferror(if(P7="",G7,P7)*Q7,"")</f>
        <v>0</v>
      </c>
      <c r="S7" s="20" t="s">
        <v>169</v>
      </c>
      <c r="T7" s="17">
        <v>183434</v>
      </c>
      <c r="V7" s="18">
        <f>iferror(USD_GBP*lookup(if(U7="",G7,U7),{0,1,100,1000,2500,5000},{0.0,0.0984,0.0984,0.0713,0.0663,0.0612}),"")</f>
        <v>0</v>
      </c>
      <c r="W7" s="18">
        <f>iferror(if(U7="",G7,U7)*V7,"")</f>
        <v>0</v>
      </c>
      <c r="X7" s="20" t="s">
        <v>208</v>
      </c>
      <c r="Y7" s="17">
        <v>1160</v>
      </c>
      <c r="AA7" s="18">
        <f>iferror(lookup(if(Z7="",G7,Z7),{0,1,20,200,600,2000,10000,20000},{0.0,0.17834,0.17834,0.13316,0.12486,0.11656,0.11287,0.11105}),"")</f>
        <v>0</v>
      </c>
      <c r="AB7" s="18">
        <f>iferror(if(Z7="",G7,Z7)*AA7,"")</f>
        <v>0</v>
      </c>
      <c r="AC7" s="20" t="s">
        <v>231</v>
      </c>
      <c r="AI7" s="17">
        <v>275327</v>
      </c>
      <c r="AK7" s="18">
        <f>iferror(lookup(if(AJ7="",G7,AJ7),{0,1,10,100,500,1000,5000},{0.0,0.246,0.23,0.166,0.14,0.117,0.101}),"")</f>
        <v>0</v>
      </c>
      <c r="AL7" s="18">
        <f>iferror(if(AJ7="",G7,AJ7)*AK7,"")</f>
        <v>0</v>
      </c>
      <c r="AM7" s="20" t="s">
        <v>265</v>
      </c>
      <c r="AN7" s="17">
        <v>15000</v>
      </c>
      <c r="AP7" s="18">
        <f>iferror(USD_GBP*lookup(if(AO7="",G7,AO7),{0,1,125,500,1250,2500},{0.0,0.124,0.124,0.116,0.11,0.104}),"")</f>
        <v>0</v>
      </c>
      <c r="AQ7" s="18">
        <f>iferror(if(AO7="",G7,AO7)*AP7,"")</f>
        <v>0</v>
      </c>
      <c r="AR7" s="20" t="s">
        <v>287</v>
      </c>
    </row>
    <row r="8" spans="1:49">
      <c r="A8" s="17" t="s">
        <v>15</v>
      </c>
      <c r="B8" s="17" t="s">
        <v>16</v>
      </c>
      <c r="D8" s="17" t="s">
        <v>17</v>
      </c>
      <c r="F8" s="17" t="s">
        <v>18</v>
      </c>
      <c r="G8" s="17">
        <f>BoardQty*10</f>
        <v>0</v>
      </c>
      <c r="H8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8" s="18">
        <f>iferror(G8*H8,"")</f>
        <v>0</v>
      </c>
      <c r="O8" s="17">
        <v>815417</v>
      </c>
      <c r="Q8" s="18">
        <f>iferror(lookup(if(P8="",G8,P8),{0,1,10,50,100,500,1000,2000},{0.0,0.23,0.157,0.0942,0.0795,0.05438,0.04811,0.04602}),"")</f>
        <v>0</v>
      </c>
      <c r="R8" s="18">
        <f>iferror(if(P8="",G8,P8)*Q8,"")</f>
        <v>0</v>
      </c>
      <c r="S8" s="20" t="s">
        <v>171</v>
      </c>
      <c r="Y8" s="17">
        <v>25690</v>
      </c>
      <c r="AA8" s="18">
        <f>iferror(lookup(if(Z8="",G8,Z8),{0,1,10,100,300,1000,5000,10000},{0.0,0.22738,0.22738,0.1674,0.15639,0.14537,0.14048,0.13806}),"")</f>
        <v>0</v>
      </c>
      <c r="AB8" s="18">
        <f>iferror(if(Z8="",G8,Z8)*AA8,"")</f>
        <v>0</v>
      </c>
      <c r="AC8" s="20" t="s">
        <v>232</v>
      </c>
      <c r="AD8" s="17">
        <v>53171</v>
      </c>
      <c r="AF8" s="18">
        <f>iferror(lookup(if(AE8="",G8,AE8),{0,1,10,50,100,1000,10000},{0.0,0.23,0.117,0.117,0.084,0.053,0.046}),"")</f>
        <v>0</v>
      </c>
      <c r="AG8" s="18">
        <f>iferror(if(AE8="",G8,AE8)*AF8,"")</f>
        <v>0</v>
      </c>
      <c r="AH8" s="20" t="s">
        <v>237</v>
      </c>
    </row>
    <row r="9" spans="1:49">
      <c r="A9" s="17" t="s">
        <v>19</v>
      </c>
      <c r="B9" s="17" t="s">
        <v>20</v>
      </c>
      <c r="D9" s="17" t="s">
        <v>17</v>
      </c>
      <c r="F9" s="17" t="s">
        <v>21</v>
      </c>
      <c r="G9" s="17">
        <f>BoardQty*2</f>
        <v>0</v>
      </c>
      <c r="H9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9" s="18">
        <f>iferror(G9*H9,"")</f>
        <v>0</v>
      </c>
      <c r="O9" s="17">
        <v>162407</v>
      </c>
      <c r="Q9" s="18">
        <f>iferror(lookup(if(P9="",G9,P9),{0,1,10,50,100,500,1000,2000},{0.0,0.23,0.159,0.0956,0.0808,0.05526,0.04888,0.04676}),"")</f>
        <v>0</v>
      </c>
      <c r="R9" s="18">
        <f>iferror(if(P9="",G9,P9)*Q9,"")</f>
        <v>0</v>
      </c>
      <c r="S9" s="20" t="s">
        <v>172</v>
      </c>
      <c r="AD9" s="17">
        <v>61774</v>
      </c>
      <c r="AF9" s="18">
        <f>iferror(lookup(if(AE9="",G9,AE9),{0,1,10,50,100,1000,10000},{0.0,0.23,0.096,0.096,0.081,0.049,0.041}),"")</f>
        <v>0</v>
      </c>
      <c r="AG9" s="18">
        <f>iferror(if(AE9="",G9,AE9)*AF9,"")</f>
        <v>0</v>
      </c>
      <c r="AH9" s="20" t="s">
        <v>238</v>
      </c>
    </row>
    <row r="10" spans="1:49">
      <c r="A10" s="17" t="s">
        <v>22</v>
      </c>
      <c r="B10" s="17" t="s">
        <v>23</v>
      </c>
      <c r="D10" s="17" t="s">
        <v>17</v>
      </c>
      <c r="F10" s="17" t="s">
        <v>24</v>
      </c>
      <c r="G10" s="17">
        <f>BoardQty*2</f>
        <v>0</v>
      </c>
      <c r="H10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10" s="18">
        <f>iferror(G10*H10,"")</f>
        <v>0</v>
      </c>
      <c r="O10" s="17">
        <v>12000</v>
      </c>
      <c r="Q10" s="18">
        <f>iferror(lookup(if(P10="",G10,P10),{0,1,4000},{0.0,0.02924,0.02924}),"")</f>
        <v>0</v>
      </c>
      <c r="R10" s="18">
        <f>iferror(if(P10="",G10,P10)*Q10,"")</f>
        <v>0</v>
      </c>
      <c r="S10" s="20" t="s">
        <v>173</v>
      </c>
    </row>
    <row r="11" spans="1:49">
      <c r="A11" s="17" t="s">
        <v>25</v>
      </c>
      <c r="B11" s="17" t="s">
        <v>26</v>
      </c>
      <c r="D11" s="17" t="s">
        <v>17</v>
      </c>
      <c r="F11" s="17" t="s">
        <v>27</v>
      </c>
      <c r="G11" s="17">
        <f>BoardQty*6</f>
        <v>0</v>
      </c>
      <c r="H11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11" s="18">
        <f>iferror(G11*H11,"")</f>
        <v>0</v>
      </c>
      <c r="O11" s="17">
        <v>340652</v>
      </c>
      <c r="Q11" s="18">
        <f>iferror(lookup(if(P11="",G11,P11),{0,1,10,50,100,500,1000,4000},{0.0,0.12,0.087,0.0496,0.041,0.02876,0.02381,0.02028}),"")</f>
        <v>0</v>
      </c>
      <c r="R11" s="18">
        <f>iferror(if(P11="",G11,P11)*Q11,"")</f>
        <v>0</v>
      </c>
      <c r="S11" s="20" t="s">
        <v>174</v>
      </c>
      <c r="AD11" s="17">
        <v>73544</v>
      </c>
      <c r="AF11" s="18">
        <f>iferror(lookup(if(AE11="",G11,AE11),{0,1,10,50,100,1000,10000},{0.0,0.12,0.089,0.089,0.042,0.025,0.017}),"")</f>
        <v>0</v>
      </c>
      <c r="AG11" s="18">
        <f>iferror(if(AE11="",G11,AE11)*AF11,"")</f>
        <v>0</v>
      </c>
      <c r="AH11" s="20" t="s">
        <v>239</v>
      </c>
    </row>
    <row r="12" spans="1:49">
      <c r="A12" s="17" t="s">
        <v>28</v>
      </c>
      <c r="B12" s="17" t="s">
        <v>29</v>
      </c>
      <c r="D12" s="17" t="s">
        <v>17</v>
      </c>
      <c r="F12" s="17" t="s">
        <v>30</v>
      </c>
      <c r="G12" s="17">
        <f>BoardQty*1</f>
        <v>0</v>
      </c>
      <c r="H12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12" s="18">
        <f>iferror(G12*H12,"")</f>
        <v>0</v>
      </c>
      <c r="O12" s="17">
        <v>285248</v>
      </c>
      <c r="Q12" s="18">
        <f>iferror(lookup(if(P12="",G12,P12),{0,1,10,50,100,500,1000,2000},{0.0,0.2,0.143,0.0812,0.0673,0.04718,0.03906,0.03635}),"")</f>
        <v>0</v>
      </c>
      <c r="R12" s="18">
        <f>iferror(if(P12="",G12,P12)*Q12,"")</f>
        <v>0</v>
      </c>
      <c r="S12" s="20" t="s">
        <v>175</v>
      </c>
      <c r="Y12" s="17">
        <v>8410</v>
      </c>
      <c r="AA12" s="18">
        <f>iferror(lookup(if(Z12="",G12,Z12),{0,1,10,100,300,1000,5000,10000},{0.0,0.30627,0.30627,0.2363,0.22345,0.2106,0.20488,0.20206}),"")</f>
        <v>0</v>
      </c>
      <c r="AB12" s="18">
        <f>iferror(if(Z12="",G12,Z12)*AA12,"")</f>
        <v>0</v>
      </c>
      <c r="AC12" s="20" t="s">
        <v>233</v>
      </c>
      <c r="AD12" s="17">
        <v>174905</v>
      </c>
      <c r="AF12" s="18">
        <f>iferror(lookup(if(AE12="",G12,AE12),{0,1,10,50,100,1000,10000},{0.0,0.2,0.098,0.098,0.071,0.041,0.03}),"")</f>
        <v>0</v>
      </c>
      <c r="AG12" s="18">
        <f>iferror(if(AE12="",G12,AE12)*AF12,"")</f>
        <v>0</v>
      </c>
      <c r="AH12" s="20" t="s">
        <v>240</v>
      </c>
      <c r="AN12" s="17">
        <v>12000</v>
      </c>
      <c r="AP12" s="18">
        <f>iferror(USD_GBP*lookup(if(AO12="",G12,AO12),{0,1,2000,6000,10000,20000,50000},{0.0,0.028,0.028,0.021,0.02,0.02,0.019}),"")</f>
        <v>0</v>
      </c>
      <c r="AQ12" s="18">
        <f>iferror(if(AO12="",G12,AO12)*AP12,"")</f>
        <v>0</v>
      </c>
      <c r="AR12" s="20" t="s">
        <v>288</v>
      </c>
      <c r="AS12" s="17">
        <v>191200</v>
      </c>
      <c r="AU12" s="18">
        <f>iferror(USD_GBP*lookup(if(AT12="",G12,AT12),{0,1,100,300,1000,2000,6000},{0.0,0.0445,0.0445,0.03247,0.02389,0.01906,0.01846}),"")</f>
        <v>0</v>
      </c>
      <c r="AV12" s="18">
        <f>iferror(if(AT12="",G12,AT12)*AU12,"")</f>
        <v>0</v>
      </c>
      <c r="AW12" s="20" t="s">
        <v>30</v>
      </c>
    </row>
    <row r="13" spans="1:49">
      <c r="A13" s="17" t="s">
        <v>31</v>
      </c>
      <c r="B13" s="17" t="s">
        <v>32</v>
      </c>
      <c r="D13" s="17" t="s">
        <v>17</v>
      </c>
      <c r="F13" s="17" t="s">
        <v>33</v>
      </c>
      <c r="G13" s="17">
        <f>BoardQty*2</f>
        <v>0</v>
      </c>
      <c r="H13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13" s="18">
        <f>iferror(G13*H13,"")</f>
        <v>0</v>
      </c>
      <c r="O13" s="17">
        <v>2000</v>
      </c>
      <c r="Q13" s="18">
        <f>iferror(lookup(if(P13="",G13,P13),{0,1,10,50,2000},{0.0,0.98,0.744,0.6178,0.38153}),"")</f>
        <v>0</v>
      </c>
      <c r="R13" s="18">
        <f>iferror(if(P13="",G13,P13)*Q13,"")</f>
        <v>0</v>
      </c>
      <c r="S13" s="20" t="s">
        <v>176</v>
      </c>
      <c r="AD13" s="19" t="s">
        <v>170</v>
      </c>
      <c r="AF13" s="18">
        <f>iferror(lookup(if(AE13="",G13,AE13),{0,1,10,50,100,1000,10000},{0.0,0.98,0.618,0.618,0.532,0.382,0.346}),"")</f>
        <v>0</v>
      </c>
      <c r="AG13" s="18">
        <f>iferror(if(AE13="",G13,AE13)*AF13,"")</f>
        <v>0</v>
      </c>
      <c r="AH13" s="20" t="s">
        <v>241</v>
      </c>
      <c r="AN13" s="17">
        <v>10</v>
      </c>
      <c r="AP13" s="18">
        <f>iferror(USD_GBP*lookup(if(AO13="",G13,AO13),{0,1,5,50,250,2000},{0.0,0.684,0.684,0.216,0.168,0.264}),"")</f>
        <v>0</v>
      </c>
      <c r="AQ13" s="18">
        <f>iferror(if(AO13="",G13,AO13)*AP13,"")</f>
        <v>0</v>
      </c>
      <c r="AR13" s="20" t="s">
        <v>289</v>
      </c>
    </row>
    <row r="14" spans="1:49">
      <c r="A14" s="17" t="s">
        <v>34</v>
      </c>
      <c r="B14" s="17" t="s">
        <v>35</v>
      </c>
      <c r="D14" s="17" t="s">
        <v>36</v>
      </c>
      <c r="F14" s="17" t="s">
        <v>37</v>
      </c>
      <c r="G14" s="17">
        <f>BoardQty*3</f>
        <v>0</v>
      </c>
      <c r="H14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14" s="18">
        <f>iferror(G14*H14,"")</f>
        <v>0</v>
      </c>
      <c r="O14" s="17">
        <v>4663</v>
      </c>
      <c r="Q14" s="18">
        <f>iferror(lookup(if(P14="",G14,P14),{0,1,50,100,500,2000},{0.0,0.2,0.181,0.175,0.139,0.139}),"")</f>
        <v>0</v>
      </c>
      <c r="R14" s="18">
        <f>iferror(if(P14="",G14,P14)*Q14,"")</f>
        <v>0</v>
      </c>
      <c r="S14" s="20" t="s">
        <v>177</v>
      </c>
      <c r="T14" s="19" t="s">
        <v>170</v>
      </c>
      <c r="V14" s="18">
        <f>iferror(USD_GBP*lookup(if(U14="",G14,U14),{0,1,5,25,100,150,250,500,1000},{0.0,0.167,0.167,0.149,0.131,0.131,0.128,0.0999,0.098}),"")</f>
        <v>0</v>
      </c>
      <c r="W14" s="18">
        <f>iferror(if(U14="",G14,U14)*V14,"")</f>
        <v>0</v>
      </c>
      <c r="X14" s="20" t="s">
        <v>209</v>
      </c>
      <c r="AD14" s="17">
        <v>9282</v>
      </c>
      <c r="AF14" s="18">
        <f>iferror(lookup(if(AE14="",G14,AE14),{0,1,10,50,100,1000,10000},{0.0,0.2,0.2,0.181,0.175,0.156,0.156}),"")</f>
        <v>0</v>
      </c>
      <c r="AG14" s="18">
        <f>iferror(if(AE14="",G14,AE14)*AF14,"")</f>
        <v>0</v>
      </c>
      <c r="AH14" s="20" t="s">
        <v>242</v>
      </c>
      <c r="AN14" s="17">
        <v>10650</v>
      </c>
      <c r="AP14" s="18">
        <f>iferror(USD_GBP*lookup(if(AO14="",G14,AO14),{0,1,50,250,500,1250,2000,2500},{0.0,0.152,0.152,0.129,0.1,0.097,0.131,0.095}),"")</f>
        <v>0</v>
      </c>
      <c r="AQ14" s="18">
        <f>iferror(if(AO14="",G14,AO14)*AP14,"")</f>
        <v>0</v>
      </c>
      <c r="AR14" s="20" t="s">
        <v>290</v>
      </c>
    </row>
    <row r="15" spans="1:49">
      <c r="A15" s="17" t="s">
        <v>38</v>
      </c>
      <c r="B15" s="17" t="s">
        <v>39</v>
      </c>
      <c r="D15" s="17" t="s">
        <v>36</v>
      </c>
      <c r="F15" s="17" t="s">
        <v>40</v>
      </c>
      <c r="G15" s="17">
        <f>BoardQty*2</f>
        <v>0</v>
      </c>
      <c r="H15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15" s="18">
        <f>iferror(G15*H15,"")</f>
        <v>0</v>
      </c>
      <c r="O15" s="17">
        <v>14703</v>
      </c>
      <c r="Q15" s="18">
        <f>iferror(lookup(if(P15="",G15,P15),{0,1,50,100,500,4000},{0.0,0.22,0.205,0.177,0.153,0.153}),"")</f>
        <v>0</v>
      </c>
      <c r="R15" s="18">
        <f>iferror(if(P15="",G15,P15)*Q15,"")</f>
        <v>0</v>
      </c>
      <c r="S15" s="20" t="s">
        <v>178</v>
      </c>
      <c r="T15" s="17">
        <v>910</v>
      </c>
      <c r="V15" s="18">
        <f>iferror(USD_GBP*lookup(if(U15="",G15,U15),{0,1,5,10,100,150,500,1000},{0.0,0.196,0.196,0.171,0.14,0.14,0.121,0.119}),"")</f>
        <v>0</v>
      </c>
      <c r="W15" s="18">
        <f>iferror(if(U15="",G15,U15)*V15,"")</f>
        <v>0</v>
      </c>
      <c r="X15" s="20" t="s">
        <v>210</v>
      </c>
      <c r="AD15" s="17">
        <v>8314</v>
      </c>
      <c r="AF15" s="18">
        <f>iferror(lookup(if(AE15="",G15,AE15),{0,1,10,50,100,1000,10000},{0.0,0.22,0.22,0.205,0.177,0.156,0.156}),"")</f>
        <v>0</v>
      </c>
      <c r="AG15" s="18">
        <f>iferror(if(AE15="",G15,AE15)*AF15,"")</f>
        <v>0</v>
      </c>
      <c r="AH15" s="20" t="s">
        <v>243</v>
      </c>
      <c r="AI15" s="17">
        <v>510</v>
      </c>
      <c r="AK15" s="18">
        <f>iferror(lookup(if(AJ15="",G15,AJ15),{0,1,5,10,25,50,100,500},{0.0,0.261,0.261,0.25,0.244,0.236,0.205,0.179}),"")</f>
        <v>0</v>
      </c>
      <c r="AL15" s="18">
        <f>iferror(if(AJ15="",G15,AJ15)*AK15,"")</f>
        <v>0</v>
      </c>
      <c r="AM15" s="20" t="s">
        <v>266</v>
      </c>
      <c r="AN15" s="17">
        <v>24550</v>
      </c>
      <c r="AP15" s="18">
        <f>iferror(USD_GBP*lookup(if(AO15="",G15,AO15),{0,1,50,500,750,1500,3000,4000},{0.0,0.173,0.173,0.122,0.116,0.112,0.106,0.131}),"")</f>
        <v>0</v>
      </c>
      <c r="AQ15" s="18">
        <f>iferror(if(AO15="",G15,AO15)*AP15,"")</f>
        <v>0</v>
      </c>
      <c r="AR15" s="20" t="s">
        <v>291</v>
      </c>
    </row>
    <row r="16" spans="1:49">
      <c r="A16" s="17" t="s">
        <v>41</v>
      </c>
      <c r="B16" s="17" t="s">
        <v>42</v>
      </c>
      <c r="D16" s="17" t="s">
        <v>36</v>
      </c>
      <c r="F16" s="17" t="s">
        <v>43</v>
      </c>
      <c r="G16" s="17">
        <f>BoardQty*1</f>
        <v>0</v>
      </c>
      <c r="H16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16" s="18">
        <f>iferror(G16*H16,"")</f>
        <v>0</v>
      </c>
      <c r="O16" s="17">
        <v>3105</v>
      </c>
      <c r="Q16" s="18">
        <f>iferror(lookup(if(P16="",G16,P16),{0,1,50,100,500,4000},{0.0,0.22,0.205,0.177,0.153,0.153}),"")</f>
        <v>0</v>
      </c>
      <c r="R16" s="18">
        <f>iferror(if(P16="",G16,P16)*Q16,"")</f>
        <v>0</v>
      </c>
      <c r="S16" s="20" t="s">
        <v>179</v>
      </c>
      <c r="T16" s="17">
        <v>1103</v>
      </c>
      <c r="V16" s="18">
        <f>iferror(USD_GBP*lookup(if(U16="",G16,U16),{0,1,5,10,100,150,500,1000},{0.0,0.196,0.196,0.171,0.14,0.14,0.121,0.119}),"")</f>
        <v>0</v>
      </c>
      <c r="W16" s="18">
        <f>iferror(if(U16="",G16,U16)*V16,"")</f>
        <v>0</v>
      </c>
      <c r="X16" s="20" t="s">
        <v>211</v>
      </c>
      <c r="AD16" s="17">
        <v>6131</v>
      </c>
      <c r="AF16" s="18">
        <f>iferror(lookup(if(AE16="",G16,AE16),{0,1,10,50,100,1000,10000},{0.0,0.22,0.22,0.205,0.177,0.156,0.156}),"")</f>
        <v>0</v>
      </c>
      <c r="AG16" s="18">
        <f>iferror(if(AE16="",G16,AE16)*AF16,"")</f>
        <v>0</v>
      </c>
      <c r="AH16" s="20" t="s">
        <v>244</v>
      </c>
      <c r="AI16" s="17">
        <v>1098</v>
      </c>
      <c r="AK16" s="18">
        <f>iferror(lookup(if(AJ16="",G16,AJ16),{0,1,5,10,25,50,100,500,1000,2500},{0.0,0.261,0.261,0.257,0.255,0.253,0.222,0.196,0.196,0.195}),"")</f>
        <v>0</v>
      </c>
      <c r="AL16" s="18">
        <f>iferror(if(AJ16="",G16,AJ16)*AK16,"")</f>
        <v>0</v>
      </c>
      <c r="AM16" s="20" t="s">
        <v>267</v>
      </c>
      <c r="AN16" s="17">
        <v>3250</v>
      </c>
      <c r="AP16" s="18">
        <f>iferror(USD_GBP*lookup(if(AO16="",G16,AO16),{0,1,50,800,2000,4000},{0.0,0.175,0.175,0.124,0.113,0.131}),"")</f>
        <v>0</v>
      </c>
      <c r="AQ16" s="18">
        <f>iferror(if(AO16="",G16,AO16)*AP16,"")</f>
        <v>0</v>
      </c>
      <c r="AR16" s="20" t="s">
        <v>292</v>
      </c>
    </row>
    <row r="17" spans="1:49">
      <c r="A17" s="17" t="s">
        <v>44</v>
      </c>
      <c r="B17" s="17" t="s">
        <v>45</v>
      </c>
      <c r="D17" s="17" t="s">
        <v>46</v>
      </c>
      <c r="E17" s="17" t="s">
        <v>47</v>
      </c>
      <c r="F17" s="17" t="s">
        <v>48</v>
      </c>
      <c r="G17" s="17">
        <f>BoardQty*1</f>
        <v>0</v>
      </c>
      <c r="H17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17" s="18">
        <f>iferror(G17*H17,"")</f>
        <v>0</v>
      </c>
      <c r="O17" s="17">
        <v>1520</v>
      </c>
      <c r="Q17" s="18">
        <f>iferror(lookup(if(P17="",G17,P17),{0,1,10,25,50,100,250,500,1000,2000,3000,5000,10000,25000},{0.0,0.7,0.609,0.5568,0.5242,0.5023,0.45864,0.4368,0.36036,0.34944,0.3276,0.31668,0.29484,0.2912}),"")</f>
        <v>0</v>
      </c>
      <c r="R17" s="18">
        <f>iferror(if(P17="",G17,P17)*Q17,"")</f>
        <v>0</v>
      </c>
      <c r="S17" s="20" t="s">
        <v>180</v>
      </c>
      <c r="T17" s="17">
        <v>872</v>
      </c>
      <c r="V17" s="18">
        <f>iferror(USD_GBP*lookup(if(U17="",G17,U17),{0,1,25,75,200,500,1000,5000,10000,20000},{0.0,0.488,0.443,0.411,0.381,0.37,0.363,0.291,0.255,0.232}),"")</f>
        <v>0</v>
      </c>
      <c r="W17" s="18">
        <f>iferror(if(U17="",G17,U17)*V17,"")</f>
        <v>0</v>
      </c>
      <c r="X17" s="20" t="s">
        <v>212</v>
      </c>
      <c r="AD17" s="17">
        <v>3681</v>
      </c>
      <c r="AF17" s="18">
        <f>iferror(lookup(if(AE17="",G17,AE17),{0,1,10,50,100,1000,10000},{0.0,0.65,0.5,0.5,0.437,0.332,0.28}),"")</f>
        <v>0</v>
      </c>
      <c r="AG17" s="18">
        <f>iferror(if(AE17="",G17,AE17)*AF17,"")</f>
        <v>0</v>
      </c>
      <c r="AH17" s="20" t="s">
        <v>245</v>
      </c>
      <c r="AI17" s="17">
        <v>932</v>
      </c>
      <c r="AK17" s="18">
        <f>iferror(lookup(if(AJ17="",G17,AJ17),{0,1,10,25,50,100,250,500,1000,2000,3000,5000,10000},{0.0,0.702,0.656,0.592,0.53,0.509,0.467,0.446,0.847,0.651,0.586,0.534,0.489}),"")</f>
        <v>0</v>
      </c>
      <c r="AL17" s="18">
        <f>iferror(if(AJ17="",G17,AJ17)*AK17,"")</f>
        <v>0</v>
      </c>
      <c r="AM17" s="20" t="s">
        <v>268</v>
      </c>
    </row>
    <row r="18" spans="1:49">
      <c r="A18" s="17" t="s">
        <v>49</v>
      </c>
      <c r="B18" s="17" t="s">
        <v>50</v>
      </c>
      <c r="D18" s="17" t="s">
        <v>50</v>
      </c>
      <c r="F18" s="17" t="s">
        <v>50</v>
      </c>
      <c r="G18" s="17">
        <f>BoardQty*1</f>
        <v>0</v>
      </c>
      <c r="H18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18" s="18">
        <f>iferror(G18*H18,"")</f>
        <v>0</v>
      </c>
      <c r="O18" s="17">
        <v>32591</v>
      </c>
      <c r="Q18" s="18">
        <f>iferror(lookup(if(P18="",G18,P18),{0,1,10,25,50,100,250,500},{0.0,0.06,0.056,0.0416,0.0356,0.0345,0.02972,0.02852}),"")</f>
        <v>0</v>
      </c>
      <c r="R18" s="18">
        <f>iferror(if(P18="",G18,P18)*Q18,"")</f>
        <v>0</v>
      </c>
      <c r="S18" s="20" t="s">
        <v>181</v>
      </c>
    </row>
    <row r="19" spans="1:49">
      <c r="A19" s="17" t="s">
        <v>51</v>
      </c>
      <c r="B19" s="17" t="s">
        <v>52</v>
      </c>
      <c r="D19" s="17" t="s">
        <v>53</v>
      </c>
      <c r="E19" s="17" t="s">
        <v>54</v>
      </c>
      <c r="F19" s="17" t="s">
        <v>52</v>
      </c>
      <c r="G19" s="17">
        <f>BoardQty*1</f>
        <v>0</v>
      </c>
      <c r="H19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19" s="18">
        <f>iferror(G19*H19,"")</f>
        <v>0</v>
      </c>
      <c r="O19" s="17">
        <v>4713</v>
      </c>
      <c r="Q19" s="18">
        <f>iferror(lookup(if(P19="",G19,P19),{0,1,10,25,40,80,230,440,945,2400},{0.0,0.91,0.772,0.7404,0.7245,0.693,0.63,0.567,0.504,0.45675}),"")</f>
        <v>0</v>
      </c>
      <c r="R19" s="18">
        <f>iferror(if(P19="",G19,P19)*Q19,"")</f>
        <v>0</v>
      </c>
      <c r="S19" s="20" t="s">
        <v>182</v>
      </c>
      <c r="AI19" s="19" t="s">
        <v>170</v>
      </c>
      <c r="AK19" s="18">
        <f>iferror(lookup(if(AJ19="",G19,AJ19),{0,1,10,25,50,100,250,500,1000,120000},{0.0,0.024,0.023,0.02,0.017,0.016,0.014,0.014,0.011,0.011}),"")</f>
        <v>0</v>
      </c>
      <c r="AL19" s="18">
        <f>iferror(if(AJ19="",G19,AJ19)*AK19,"")</f>
        <v>0</v>
      </c>
      <c r="AM19" s="20" t="s">
        <v>269</v>
      </c>
    </row>
    <row r="20" spans="1:49">
      <c r="A20" s="17" t="s">
        <v>55</v>
      </c>
      <c r="B20" s="17" t="s">
        <v>56</v>
      </c>
      <c r="D20" s="17" t="s">
        <v>57</v>
      </c>
      <c r="E20" s="17" t="s">
        <v>47</v>
      </c>
      <c r="F20" s="17" t="s">
        <v>56</v>
      </c>
      <c r="G20" s="17">
        <f>BoardQty*2</f>
        <v>0</v>
      </c>
      <c r="H20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20" s="18">
        <f>iferror(G20*H20,"")</f>
        <v>0</v>
      </c>
      <c r="O20" s="17">
        <v>6698</v>
      </c>
      <c r="Q20" s="18">
        <f>iferror(lookup(if(P20="",G20,P20),{0,1,10,25,50,100,250,500,1500,3000,7500,10500,15000},{0.0,0.47,0.413,0.3776,0.3554,0.3405,0.31092,0.2961,0.23688,0.22207,0.21467,0.19987,0.1974}),"")</f>
        <v>0</v>
      </c>
      <c r="R20" s="18">
        <f>iferror(if(P20="",G20,P20)*Q20,"")</f>
        <v>0</v>
      </c>
      <c r="S20" s="20" t="s">
        <v>183</v>
      </c>
      <c r="T20" s="17">
        <v>2960</v>
      </c>
      <c r="V20" s="18">
        <f>iferror(USD_GBP*lookup(if(U20="",G20,U20),{0,1,250,500,1000,5000},{0.0,0.482,0.369,0.331,0.299,0.273}),"")</f>
        <v>0</v>
      </c>
      <c r="W20" s="18">
        <f>iferror(if(U20="",G20,U20)*V20,"")</f>
        <v>0</v>
      </c>
      <c r="X20" s="20" t="s">
        <v>213</v>
      </c>
      <c r="AD20" s="17">
        <v>1282</v>
      </c>
      <c r="AF20" s="18">
        <f>iferror(lookup(if(AE20="",G20,AE20),{0,1,10,50,100,1000,10000},{0.0,0.45,0.338,0.338,0.296,0.226,0.187}),"")</f>
        <v>0</v>
      </c>
      <c r="AG20" s="18">
        <f>iferror(if(AE20="",G20,AE20)*AF20,"")</f>
        <v>0</v>
      </c>
      <c r="AH20" s="20" t="s">
        <v>246</v>
      </c>
      <c r="AI20" s="17">
        <v>2960</v>
      </c>
      <c r="AK20" s="18">
        <f>iferror(lookup(if(AJ20="",G20,AJ20),{0,1,250,500,1000,5000},{0.0,0.574,0.439,0.394,0.356,0.325}),"")</f>
        <v>0</v>
      </c>
      <c r="AL20" s="18">
        <f>iferror(if(AJ20="",G20,AJ20)*AK20,"")</f>
        <v>0</v>
      </c>
      <c r="AM20" s="20" t="s">
        <v>270</v>
      </c>
    </row>
    <row r="21" spans="1:49">
      <c r="A21" s="17" t="s">
        <v>58</v>
      </c>
      <c r="B21" s="17" t="s">
        <v>59</v>
      </c>
      <c r="D21" s="17" t="s">
        <v>60</v>
      </c>
      <c r="F21" s="17" t="s">
        <v>61</v>
      </c>
      <c r="G21" s="17">
        <f>BoardQty*1</f>
        <v>0</v>
      </c>
      <c r="H21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21" s="18">
        <f>iferror(G21*H21,"")</f>
        <v>0</v>
      </c>
      <c r="O21" s="19" t="s">
        <v>170</v>
      </c>
      <c r="Q21" s="18">
        <f>iferror(lookup(if(P21="",G21,P21),{0,1,10,100,1000,2400,4800},{0.0,2.41,2.054,1.6967,1.3395,1.44722,1.37485}),"")</f>
        <v>0</v>
      </c>
      <c r="R21" s="18">
        <f>iferror(if(P21="",G21,P21)*Q21,"")</f>
        <v>0</v>
      </c>
      <c r="S21" s="20" t="s">
        <v>184</v>
      </c>
      <c r="T21" s="19" t="s">
        <v>170</v>
      </c>
      <c r="V21" s="18">
        <f>iferror(USD_GBP*lookup(if(U21="",G21,U21),{0,1,60,180,480,1200,2400,12000,24000,48000},{0.0,1.78,1.47,1.35,1.22,1.2,1.07,1.05,1.03,1.01}),"")</f>
        <v>0</v>
      </c>
      <c r="W21" s="18">
        <f>iferror(if(U21="",G21,U21)*V21,"")</f>
        <v>0</v>
      </c>
      <c r="X21" s="20" t="s">
        <v>214</v>
      </c>
      <c r="Y21" s="17">
        <v>251561</v>
      </c>
      <c r="AA21" s="18">
        <f>iferror(lookup(if(Z21="",G21,Z21),{0,1,10,30,100,500,1000},{0.0,3.95,3.04,2.81,2.52,2.38,2.36}),"")</f>
        <v>0</v>
      </c>
      <c r="AB21" s="18">
        <f>iferror(if(Z21="",G21,Z21)*AA21,"")</f>
        <v>0</v>
      </c>
      <c r="AC21" s="20" t="s">
        <v>234</v>
      </c>
      <c r="AD21" s="17">
        <v>56004</v>
      </c>
      <c r="AF21" s="18">
        <f>iferror(lookup(if(AE21="",G21,AE21),{0,1,10,50,100,1000,10000},{0.0,2.66,2.27,2.27,1.88,1.55,1.45}),"")</f>
        <v>0</v>
      </c>
      <c r="AG21" s="18">
        <f>iferror(if(AE21="",G21,AE21)*AF21,"")</f>
        <v>0</v>
      </c>
      <c r="AH21" s="20" t="s">
        <v>247</v>
      </c>
      <c r="AI21" s="19" t="s">
        <v>170</v>
      </c>
      <c r="AK21" s="18">
        <f>iferror(lookup(if(AJ21="",G21,AJ21),{0,1,10,25,50,100,250,2400,4800},{0.0,1.52,2.32,2.18,2.05,1.92,1.85,1.5,1.48}),"")</f>
        <v>0</v>
      </c>
      <c r="AL21" s="18">
        <f>iferror(if(AJ21="",G21,AJ21)*AK21,"")</f>
        <v>0</v>
      </c>
      <c r="AM21" s="20" t="s">
        <v>271</v>
      </c>
      <c r="AN21" s="17">
        <v>29</v>
      </c>
      <c r="AP21" s="18">
        <f>iferror(USD_GBP*lookup(if(AO21="",G21,AO21),{0,1,10,20,50,100},{0.0,1.6,1.6,1.57,1.53,1.48}),"")</f>
        <v>0</v>
      </c>
      <c r="AQ21" s="18">
        <f>iferror(if(AO21="",G21,AO21)*AP21,"")</f>
        <v>0</v>
      </c>
      <c r="AR21" s="20" t="s">
        <v>293</v>
      </c>
      <c r="AS21" s="17">
        <v>11585</v>
      </c>
      <c r="AU21" s="18">
        <f>iferror(USD_GBP*lookup(if(AT21="",G21,AT21),{0,1,5,20,100},{0.0,1.86,1.51,1.12,0.84}),"")</f>
        <v>0</v>
      </c>
      <c r="AV21" s="18">
        <f>iferror(if(AT21="",G21,AT21)*AU21,"")</f>
        <v>0</v>
      </c>
      <c r="AW21" s="20" t="s">
        <v>303</v>
      </c>
    </row>
    <row r="22" spans="1:49">
      <c r="A22" s="17" t="s">
        <v>62</v>
      </c>
      <c r="B22" s="17" t="s">
        <v>63</v>
      </c>
      <c r="C22" s="17" t="s">
        <v>64</v>
      </c>
      <c r="D22" s="17" t="s">
        <v>65</v>
      </c>
      <c r="F22" s="17" t="s">
        <v>63</v>
      </c>
      <c r="G22" s="17">
        <f>BoardQty*1</f>
        <v>0</v>
      </c>
      <c r="H22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22" s="18">
        <f>iferror(G22*H22,"")</f>
        <v>0</v>
      </c>
      <c r="O22" s="17">
        <v>3749</v>
      </c>
      <c r="Q22" s="18">
        <f>iferror(lookup(if(P22="",G22,P22),{0,1,10,25,40,80,230,440,2000,4000},{0.0,3.94,3.58,3.3912,3.31225,3.1545,2.76026,2.68139,2.20819,2.12933}),"")</f>
        <v>0</v>
      </c>
      <c r="R22" s="18">
        <f>iferror(if(P22="",G22,P22)*Q22,"")</f>
        <v>0</v>
      </c>
      <c r="S22" s="20" t="s">
        <v>185</v>
      </c>
      <c r="AD22" s="19" t="s">
        <v>170</v>
      </c>
      <c r="AF22" s="18">
        <f>iferror(lookup(if(AE22="",G22,AE22),{0,1,10,50,100,1000,10000},{0.0,3.94,3.58,3.31,3.15,2.39,2.2}),"")</f>
        <v>0</v>
      </c>
      <c r="AG22" s="18">
        <f>iferror(if(AE22="",G22,AE22)*AF22,"")</f>
        <v>0</v>
      </c>
      <c r="AH22" s="20" t="s">
        <v>248</v>
      </c>
    </row>
    <row r="23" spans="1:49">
      <c r="A23" s="17" t="s">
        <v>66</v>
      </c>
      <c r="B23" s="17" t="s">
        <v>67</v>
      </c>
      <c r="D23" s="17" t="s">
        <v>67</v>
      </c>
      <c r="F23" s="17" t="s">
        <v>67</v>
      </c>
      <c r="G23" s="17">
        <f>BoardQty*3</f>
        <v>0</v>
      </c>
      <c r="H23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23" s="18">
        <f>iferror(G23*H23,"")</f>
        <v>0</v>
      </c>
      <c r="O23" s="17">
        <v>33792</v>
      </c>
      <c r="Q23" s="18">
        <f>iferror(lookup(if(P23="",G23,P23),{0,1,10,25,40,80,230,440,945,2400},{0.0,0.52,0.457,0.4176,0.393,0.37675,0.344,0.32759,0.27028,0.2457}),"")</f>
        <v>0</v>
      </c>
      <c r="R23" s="18">
        <f>iferror(if(P23="",G23,P23)*Q23,"")</f>
        <v>0</v>
      </c>
      <c r="S23" s="20" t="s">
        <v>186</v>
      </c>
      <c r="T23" s="17">
        <v>2011</v>
      </c>
      <c r="V23" s="18">
        <f>iferror(USD_GBP*lookup(if(U23="",G23,U23),{0,1,10,25,50,100,250},{0.0,0.42,0.391,0.352,0.313,0.301,0.274}),"")</f>
        <v>0</v>
      </c>
      <c r="W23" s="18">
        <f>iferror(if(U23="",G23,U23)*V23,"")</f>
        <v>0</v>
      </c>
      <c r="X23" s="20" t="s">
        <v>215</v>
      </c>
      <c r="AI23" s="17">
        <v>2011</v>
      </c>
      <c r="AK23" s="18">
        <f>iferror(lookup(if(AJ23="",G23,AJ23),{0,1,10,25,50,100,250},{0.0,0.5,0.465,0.419,0.373,0.358,0.326}),"")</f>
        <v>0</v>
      </c>
      <c r="AL23" s="18">
        <f>iferror(if(AJ23="",G23,AJ23)*AK23,"")</f>
        <v>0</v>
      </c>
      <c r="AM23" s="20" t="s">
        <v>272</v>
      </c>
    </row>
    <row r="24" spans="1:49">
      <c r="A24" s="17" t="s">
        <v>68</v>
      </c>
      <c r="B24" s="17" t="s">
        <v>69</v>
      </c>
      <c r="D24" s="17" t="s">
        <v>70</v>
      </c>
      <c r="F24" s="17" t="s">
        <v>70</v>
      </c>
      <c r="G24" s="17">
        <f>BoardQty*1</f>
        <v>0</v>
      </c>
      <c r="H24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24" s="18">
        <f>iferror(G24*H24,"")</f>
        <v>0</v>
      </c>
      <c r="O24" s="17">
        <v>2388</v>
      </c>
      <c r="Q24" s="18">
        <f>iferror(lookup(if(P24="",G24,P24),{0,1,10,25,50,100,250,500},{0.0,0.37,0.326,0.2848,0.2442,0.2238,0.20352,0.19128}),"")</f>
        <v>0</v>
      </c>
      <c r="R24" s="18">
        <f>iferror(if(P24="",G24,P24)*Q24,"")</f>
        <v>0</v>
      </c>
      <c r="S24" s="20" t="s">
        <v>187</v>
      </c>
      <c r="T24" s="19" t="s">
        <v>170</v>
      </c>
      <c r="V24" s="18">
        <f>iferror(USD_GBP*lookup(if(U24="",G24,U24),{0,1,500},{0.0,0.167,0.167}),"")</f>
        <v>0</v>
      </c>
      <c r="W24" s="18">
        <f>iferror(if(U24="",G24,U24)*V24,"")</f>
        <v>0</v>
      </c>
      <c r="X24" s="20" t="s">
        <v>216</v>
      </c>
      <c r="Y24" s="17">
        <v>584</v>
      </c>
      <c r="AA24" s="18">
        <f>iferror(lookup(if(Z24="",G24,Z24),{0,1,10,30,100,500,1000},{0.0,1.3292,1.0189,0.9618,0.9048,0.8795,0.867}),"")</f>
        <v>0</v>
      </c>
      <c r="AB24" s="18">
        <f>iferror(if(Z24="",G24,Z24)*AA24,"")</f>
        <v>0</v>
      </c>
      <c r="AC24" s="20" t="s">
        <v>235</v>
      </c>
      <c r="AD24" s="17">
        <v>8016</v>
      </c>
      <c r="AF24" s="18">
        <f>iferror(lookup(if(AE24="",G24,AE24),{0,1,10,50,100,1000,10000},{0.0,0.37,0.245,0.245,0.204,0.178,0.178}),"")</f>
        <v>0</v>
      </c>
      <c r="AG24" s="18">
        <f>iferror(if(AE24="",G24,AE24)*AF24,"")</f>
        <v>0</v>
      </c>
      <c r="AH24" s="20" t="s">
        <v>249</v>
      </c>
      <c r="AI24" s="19" t="s">
        <v>170</v>
      </c>
      <c r="AK24" s="18">
        <f>iferror(lookup(if(AJ24="",G24,AJ24),{0,1,10,25,50,100,500,1000},{0.0,0.188,0.245,0.231,0.218,0.204,0.183,0.178}),"")</f>
        <v>0</v>
      </c>
      <c r="AL24" s="18">
        <f>iferror(if(AJ24="",G24,AJ24)*AK24,"")</f>
        <v>0</v>
      </c>
      <c r="AM24" s="20" t="s">
        <v>273</v>
      </c>
    </row>
    <row r="25" spans="1:49">
      <c r="A25" s="17" t="s">
        <v>71</v>
      </c>
      <c r="B25" s="17" t="s">
        <v>72</v>
      </c>
      <c r="D25" s="17" t="s">
        <v>73</v>
      </c>
      <c r="G25" s="17">
        <f>BoardQty*1</f>
        <v>0</v>
      </c>
      <c r="H25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25" s="18">
        <f>iferror(G25*H25,"")</f>
        <v>0</v>
      </c>
    </row>
    <row r="26" spans="1:49">
      <c r="A26" s="17" t="s">
        <v>74</v>
      </c>
      <c r="B26" s="17" t="s">
        <v>75</v>
      </c>
      <c r="D26" s="17" t="s">
        <v>76</v>
      </c>
      <c r="E26" s="17" t="s">
        <v>77</v>
      </c>
      <c r="F26" s="17" t="s">
        <v>75</v>
      </c>
      <c r="G26" s="17">
        <f>BoardQty*1</f>
        <v>0</v>
      </c>
      <c r="H26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26" s="18">
        <f>iferror(G26*H26,"")</f>
        <v>0</v>
      </c>
      <c r="O26" s="19" t="s">
        <v>170</v>
      </c>
      <c r="Q26" s="18">
        <f>iferror(lookup(if(P26="",G26,P26),{0,1,10,100,500,1000,3000,6000,15000,30000,75000},{0.0,0.18,0.16,0.0872,0.05364,0.03657,0.03108,0.02804,0.02438,0.02194,0.02013}),"")</f>
        <v>0</v>
      </c>
      <c r="R26" s="18">
        <f>iferror(if(P26="",G26,P26)*Q26,"")</f>
        <v>0</v>
      </c>
      <c r="S26" s="20" t="s">
        <v>188</v>
      </c>
      <c r="T26" s="19" t="s">
        <v>170</v>
      </c>
      <c r="V26" s="18">
        <f>iferror(USD_GBP*lookup(if(U26="",G26,U26),{0,1,5,10,100,150,500,3000},{0.0,0.177,0.177,0.161,0.0855,0.0855,0.0473,0.0187}),"")</f>
        <v>0</v>
      </c>
      <c r="W26" s="18">
        <f>iferror(if(U26="",G26,U26)*V26,"")</f>
        <v>0</v>
      </c>
      <c r="X26" s="20" t="s">
        <v>217</v>
      </c>
      <c r="AD26" s="19" t="s">
        <v>170</v>
      </c>
      <c r="AF26" s="18">
        <f>iferror(lookup(if(AE26="",G26,AE26),{0,1,10,50,100,1000,10000},{0.0,0.17,0.161,0.161,0.088,0.037,0.024}),"")</f>
        <v>0</v>
      </c>
      <c r="AG26" s="18">
        <f>iferror(if(AE26="",G26,AE26)*AF26,"")</f>
        <v>0</v>
      </c>
      <c r="AH26" s="20" t="s">
        <v>250</v>
      </c>
      <c r="AI26" s="17">
        <v>872</v>
      </c>
      <c r="AK26" s="18">
        <f>iferror(lookup(if(AJ26="",G26,AJ26),{0,1,10,25,50,100,250,500,1000,3000,6000,12000,18000},{0.0,0.183,0.128,0.089,0.069,0.054,0.045,0.037,0.028,0.035,0.027,0.021,0.021}),"")</f>
        <v>0</v>
      </c>
      <c r="AL26" s="18">
        <f>iferror(if(AJ26="",G26,AJ26)*AK26,"")</f>
        <v>0</v>
      </c>
      <c r="AM26" s="20" t="s">
        <v>274</v>
      </c>
      <c r="AN26" s="17">
        <v>1800</v>
      </c>
      <c r="AP26" s="18">
        <f>iferror(USD_GBP*lookup(if(AO26="",G26,AO26),{0,1,200,1000,2000,3000,5000,10000},{0.0,0.052,0.052,0.048,0.045,0.018,0.041,0.038}),"")</f>
        <v>0</v>
      </c>
      <c r="AQ26" s="18">
        <f>iferror(if(AO26="",G26,AO26)*AP26,"")</f>
        <v>0</v>
      </c>
      <c r="AR26" s="20" t="s">
        <v>294</v>
      </c>
      <c r="AS26" s="19" t="s">
        <v>170</v>
      </c>
      <c r="AU26" s="18">
        <f>iferror(USD_GBP*lookup(if(AT26="",G26,AT26),{0,1,20,100,500,3000,12000},{0.0,0.0415,0.0415,0.0171,0.0151,0.013,0.0116}),"")</f>
        <v>0</v>
      </c>
      <c r="AV26" s="18">
        <f>iferror(if(AT26="",G26,AT26)*AU26,"")</f>
        <v>0</v>
      </c>
      <c r="AW26" s="20" t="s">
        <v>75</v>
      </c>
    </row>
    <row r="27" spans="1:49">
      <c r="A27" s="17" t="s">
        <v>78</v>
      </c>
      <c r="B27" s="17" t="s">
        <v>79</v>
      </c>
      <c r="D27" s="17" t="s">
        <v>80</v>
      </c>
      <c r="F27" s="17" t="s">
        <v>81</v>
      </c>
      <c r="G27" s="17">
        <f>BoardQty*2</f>
        <v>0</v>
      </c>
      <c r="H27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27" s="18">
        <f>iferror(G27*H27,"")</f>
        <v>0</v>
      </c>
      <c r="O27" s="17">
        <v>5000</v>
      </c>
      <c r="Q27" s="18">
        <f>iferror(lookup(if(P27="",G27,P27),{0,1,10,100,1000,2500,5000},{0.0,0.1,0.074,0.0301,0.01353,0.01174,0.0097}),"")</f>
        <v>0</v>
      </c>
      <c r="R27" s="18">
        <f>iferror(if(P27="",G27,P27)*Q27,"")</f>
        <v>0</v>
      </c>
      <c r="S27" s="20" t="s">
        <v>189</v>
      </c>
      <c r="AD27" s="17">
        <v>22887</v>
      </c>
      <c r="AF27" s="18">
        <f>iferror(lookup(if(AE27="",G27,AE27),{0,1,10,50,100,1000,10000},{0.0,0.14,0.078,0.078,0.033,0.017,0.011}),"")</f>
        <v>0</v>
      </c>
      <c r="AG27" s="18">
        <f>iferror(if(AE27="",G27,AE27)*AF27,"")</f>
        <v>0</v>
      </c>
      <c r="AH27" s="20" t="s">
        <v>251</v>
      </c>
    </row>
    <row r="28" spans="1:49">
      <c r="A28" s="17" t="s">
        <v>82</v>
      </c>
      <c r="B28" s="17" t="s">
        <v>83</v>
      </c>
      <c r="D28" s="17" t="s">
        <v>80</v>
      </c>
      <c r="F28" s="17" t="s">
        <v>84</v>
      </c>
      <c r="G28" s="17">
        <f>BoardQty*1</f>
        <v>0</v>
      </c>
      <c r="H28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28" s="18">
        <f>iferror(G28*H28,"")</f>
        <v>0</v>
      </c>
      <c r="O28" s="17">
        <v>373719</v>
      </c>
      <c r="Q28" s="18">
        <f>iferror(lookup(if(P28="",G28,P28),{0,1,10,100,1000,2500,5000},{0.0,0.1,0.074,0.0301,0.01353,0.01174,0.0097}),"")</f>
        <v>0</v>
      </c>
      <c r="R28" s="18">
        <f>iferror(if(P28="",G28,P28)*Q28,"")</f>
        <v>0</v>
      </c>
      <c r="S28" s="20" t="s">
        <v>190</v>
      </c>
      <c r="T28" s="17">
        <v>49429</v>
      </c>
      <c r="V28" s="18">
        <f>iferror(USD_GBP*lookup(if(U28="",G28,U28),{0,1,10,100,150,500,1000,2500,5000,25000},{0.0,0.0884,0.0884,0.035,0.035,0.0247,0.0143,0.013,0.0107,0.0078}),"")</f>
        <v>0</v>
      </c>
      <c r="W28" s="18">
        <f>iferror(if(U28="",G28,U28)*V28,"")</f>
        <v>0</v>
      </c>
      <c r="X28" s="20" t="s">
        <v>218</v>
      </c>
      <c r="AD28" s="19" t="s">
        <v>170</v>
      </c>
      <c r="AF28" s="18">
        <f>iferror(lookup(if(AE28="",G28,AE28),{0,1,10,50,100,1000,10000},{0.0,0.1,0.074,0.074,0.031,0.012,0.006}),"")</f>
        <v>0</v>
      </c>
      <c r="AG28" s="18">
        <f>iferror(if(AE28="",G28,AE28)*AF28,"")</f>
        <v>0</v>
      </c>
      <c r="AH28" s="20" t="s">
        <v>252</v>
      </c>
      <c r="AI28" s="17">
        <v>19200</v>
      </c>
      <c r="AK28" s="18">
        <f>iferror(lookup(if(AJ28="",G28,AJ28),{0,1,10,25,50,100},{0.0,0.065,0.045,0.036,0.028,0.019}),"")</f>
        <v>0</v>
      </c>
      <c r="AL28" s="18">
        <f>iferror(if(AJ28="",G28,AJ28)*AK28,"")</f>
        <v>0</v>
      </c>
      <c r="AM28" s="20" t="s">
        <v>275</v>
      </c>
      <c r="AN28" s="17">
        <v>4200</v>
      </c>
      <c r="AP28" s="18">
        <f>iferror(USD_GBP*lookup(if(AO28="",G28,AO28),{0,1,100,500,1000,2000,5000},{0.0,0.03,0.03,0.028,0.025,0.02,0.007}),"")</f>
        <v>0</v>
      </c>
      <c r="AQ28" s="18">
        <f>iferror(if(AO28="",G28,AO28)*AP28,"")</f>
        <v>0</v>
      </c>
      <c r="AR28" s="20" t="s">
        <v>295</v>
      </c>
      <c r="AS28" s="17">
        <v>36700</v>
      </c>
      <c r="AU28" s="18">
        <f>iferror(USD_GBP*lookup(if(AT28="",G28,AT28),{0,1,100,1000,5000,15000,50000},{0.0,0.0197,0.0197,0.00609,0.00382,0.00348,0.00336}),"")</f>
        <v>0</v>
      </c>
      <c r="AV28" s="18">
        <f>iferror(if(AT28="",G28,AT28)*AU28,"")</f>
        <v>0</v>
      </c>
      <c r="AW28" s="20" t="s">
        <v>304</v>
      </c>
    </row>
    <row r="29" spans="1:49">
      <c r="A29" s="17" t="s">
        <v>85</v>
      </c>
      <c r="B29" s="17" t="s">
        <v>86</v>
      </c>
      <c r="D29" s="17" t="s">
        <v>80</v>
      </c>
      <c r="F29" s="17" t="s">
        <v>87</v>
      </c>
      <c r="G29" s="17">
        <f>BoardQty*1</f>
        <v>0</v>
      </c>
      <c r="H29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29" s="18">
        <f>iferror(G29*H29,"")</f>
        <v>0</v>
      </c>
      <c r="O29" s="17">
        <v>171175</v>
      </c>
      <c r="Q29" s="18">
        <f>iferror(lookup(if(P29="",G29,P29),{0,1,10,100,1000,2500,5000},{0.0,0.1,0.074,0.0301,0.01353,0.01174,0.0097}),"")</f>
        <v>0</v>
      </c>
      <c r="R29" s="18">
        <f>iferror(if(P29="",G29,P29)*Q29,"")</f>
        <v>0</v>
      </c>
      <c r="S29" s="20" t="s">
        <v>191</v>
      </c>
      <c r="T29" s="17">
        <v>45890</v>
      </c>
      <c r="V29" s="18">
        <f>iferror(USD_GBP*lookup(if(U29="",G29,U29),{0,1,10,100,150,500,1000,2500,5000,25000},{0.0,0.0838,0.0838,0.0334,0.0334,0.0239,0.0144,0.0131,0.0112,0.0086}),"")</f>
        <v>0</v>
      </c>
      <c r="W29" s="18">
        <f>iferror(if(U29="",G29,U29)*V29,"")</f>
        <v>0</v>
      </c>
      <c r="X29" s="20" t="s">
        <v>219</v>
      </c>
      <c r="AD29" s="17">
        <v>5491</v>
      </c>
      <c r="AF29" s="18">
        <f>iferror(lookup(if(AE29="",G29,AE29),{0,1,10,50,100,1000,10000},{0.0,0.1,0.074,0.074,0.031,0.012,0.009}),"")</f>
        <v>0</v>
      </c>
      <c r="AG29" s="18">
        <f>iferror(if(AE29="",G29,AE29)*AF29,"")</f>
        <v>0</v>
      </c>
      <c r="AH29" s="20" t="s">
        <v>253</v>
      </c>
      <c r="AI29" s="17">
        <v>45820</v>
      </c>
      <c r="AK29" s="18">
        <f>iferror(lookup(if(AJ29="",G29,AJ29),{0,1,10,25,50,100,5000},{0.0,0.011,0.089,0.072,0.054,0.037,0.011}),"")</f>
        <v>0</v>
      </c>
      <c r="AL29" s="18">
        <f>iferror(if(AJ29="",G29,AJ29)*AK29,"")</f>
        <v>0</v>
      </c>
      <c r="AM29" s="20" t="s">
        <v>276</v>
      </c>
      <c r="AN29" s="17">
        <v>5000</v>
      </c>
      <c r="AP29" s="18">
        <f>iferror(USD_GBP*lookup(if(AO29="",G29,AO29),{0,1,100,500,1000,2000,5000},{0.0,0.03,0.03,0.028,0.025,0.02,0.007}),"")</f>
        <v>0</v>
      </c>
      <c r="AQ29" s="18">
        <f>iferror(if(AO29="",G29,AO29)*AP29,"")</f>
        <v>0</v>
      </c>
      <c r="AR29" s="20" t="s">
        <v>296</v>
      </c>
      <c r="AS29" s="17">
        <v>8700</v>
      </c>
      <c r="AU29" s="18">
        <f>iferror(USD_GBP*lookup(if(AT29="",G29,AT29),{0,1,100,1000,5000,15000,50000},{0.0,0.0187,0.0187,0.00541,0.00398,0.00367,0.00351}),"")</f>
        <v>0</v>
      </c>
      <c r="AV29" s="18">
        <f>iferror(if(AT29="",G29,AT29)*AU29,"")</f>
        <v>0</v>
      </c>
      <c r="AW29" s="20" t="s">
        <v>305</v>
      </c>
    </row>
    <row r="30" spans="1:49">
      <c r="A30" s="17" t="s">
        <v>88</v>
      </c>
      <c r="B30" s="17" t="s">
        <v>89</v>
      </c>
      <c r="D30" s="17" t="s">
        <v>80</v>
      </c>
      <c r="F30" s="17" t="s">
        <v>90</v>
      </c>
      <c r="G30" s="17">
        <f>BoardQty*2</f>
        <v>0</v>
      </c>
      <c r="H30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30" s="18">
        <f>iferror(G30*H30,"")</f>
        <v>0</v>
      </c>
      <c r="O30" s="17">
        <v>111803</v>
      </c>
      <c r="Q30" s="18">
        <f>iferror(lookup(if(P30="",G30,P30),{0,1,10,100,1000,2500,5000},{0.0,0.1,0.074,0.0301,0.01353,0.01174,0.0097}),"")</f>
        <v>0</v>
      </c>
      <c r="R30" s="18">
        <f>iferror(if(P30="",G30,P30)*Q30,"")</f>
        <v>0</v>
      </c>
      <c r="S30" s="20" t="s">
        <v>192</v>
      </c>
      <c r="T30" s="17">
        <v>75000</v>
      </c>
      <c r="V30" s="18">
        <f>iferror(USD_GBP*lookup(if(U30="",G30,U30),{0,1,10,100,150,500,1000,2500,5000,25000},{0.0,0.0838,0.0838,0.0335,0.0335,0.0232,0.0128,0.0103,0.0084,0.0082}),"")</f>
        <v>0</v>
      </c>
      <c r="W30" s="18">
        <f>iferror(if(U30="",G30,U30)*V30,"")</f>
        <v>0</v>
      </c>
      <c r="X30" s="20" t="s">
        <v>220</v>
      </c>
      <c r="AD30" s="17">
        <v>33509</v>
      </c>
      <c r="AF30" s="18">
        <f>iferror(lookup(if(AE30="",G30,AE30),{0,1,10,50,100,1000,10000},{0.0,0.1,0.074,0.074,0.031,0.012,0.009}),"")</f>
        <v>0</v>
      </c>
      <c r="AG30" s="18">
        <f>iferror(if(AE30="",G30,AE30)*AF30,"")</f>
        <v>0</v>
      </c>
      <c r="AH30" s="20" t="s">
        <v>254</v>
      </c>
      <c r="AI30" s="17">
        <v>75000</v>
      </c>
      <c r="AK30" s="18">
        <f>iferror(lookup(if(AJ30="",G30,AJ30),{0,1,10,25,50,100,5000},{0.0,0.089,0.089,0.072,0.054,0.037,0.011}),"")</f>
        <v>0</v>
      </c>
      <c r="AL30" s="18">
        <f>iferror(if(AJ30="",G30,AJ30)*AK30,"")</f>
        <v>0</v>
      </c>
      <c r="AM30" s="20" t="s">
        <v>277</v>
      </c>
      <c r="AS30" s="17">
        <v>15900</v>
      </c>
      <c r="AU30" s="18">
        <f>iferror(USD_GBP*lookup(if(AT30="",G30,AT30),{0,1,100,1000,5000,15000,50000},{0.0,0.0156,0.0156,0.00587,0.00379,0.00346,0.00335}),"")</f>
        <v>0</v>
      </c>
      <c r="AV30" s="18">
        <f>iferror(if(AT30="",G30,AT30)*AU30,"")</f>
        <v>0</v>
      </c>
      <c r="AW30" s="20" t="s">
        <v>306</v>
      </c>
    </row>
    <row r="31" spans="1:49">
      <c r="A31" s="17" t="s">
        <v>91</v>
      </c>
      <c r="B31" s="17" t="s">
        <v>92</v>
      </c>
      <c r="D31" s="17" t="s">
        <v>80</v>
      </c>
      <c r="F31" s="17" t="s">
        <v>93</v>
      </c>
      <c r="G31" s="17">
        <f>BoardQty*1</f>
        <v>0</v>
      </c>
      <c r="H31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31" s="18">
        <f>iferror(G31*H31,"")</f>
        <v>0</v>
      </c>
      <c r="O31" s="17">
        <v>15524</v>
      </c>
      <c r="Q31" s="18">
        <f>iferror(lookup(if(P31="",G31,P31),{0,1,10,100,1000,2500,5000},{0.0,0.1,0.093,0.0356,0.01569,0.01355,0.01212}),"")</f>
        <v>0</v>
      </c>
      <c r="R31" s="18">
        <f>iferror(if(P31="",G31,P31)*Q31,"")</f>
        <v>0</v>
      </c>
      <c r="S31" s="20" t="s">
        <v>193</v>
      </c>
      <c r="T31" s="17">
        <v>200</v>
      </c>
      <c r="V31" s="18">
        <f>iferror(USD_GBP*lookup(if(U31="",G31,U31),{0,1,10,100,150},{0.0,0.0768,0.0768,0.031,0.031}),"")</f>
        <v>0</v>
      </c>
      <c r="W31" s="18">
        <f>iferror(if(U31="",G31,U31)*V31,"")</f>
        <v>0</v>
      </c>
      <c r="X31" s="20" t="s">
        <v>221</v>
      </c>
      <c r="AD31" s="17">
        <v>16943</v>
      </c>
      <c r="AF31" s="18">
        <f>iferror(lookup(if(AE31="",G31,AE31),{0,1,10,50,100,1000,10000},{0.0,0.1,0.071,0.071,0.034,0.015,0.011}),"")</f>
        <v>0</v>
      </c>
      <c r="AG31" s="18">
        <f>iferror(if(AE31="",G31,AE31)*AF31,"")</f>
        <v>0</v>
      </c>
      <c r="AH31" s="20" t="s">
        <v>255</v>
      </c>
      <c r="AI31" s="17">
        <v>19452</v>
      </c>
      <c r="AK31" s="18">
        <f>iferror(lookup(if(AJ31="",G31,AJ31),{0,1,25,50,100,250,500,1000,50000},{0.0,0.004,0.004,0.004,0.004,0.004,0.004,0.004,0.013}),"")</f>
        <v>0</v>
      </c>
      <c r="AL31" s="18">
        <f>iferror(if(AJ31="",G31,AJ31)*AK31,"")</f>
        <v>0</v>
      </c>
      <c r="AM31" s="20" t="s">
        <v>278</v>
      </c>
    </row>
    <row r="32" spans="1:49">
      <c r="A32" s="17" t="s">
        <v>94</v>
      </c>
      <c r="B32" s="17" t="s">
        <v>95</v>
      </c>
      <c r="D32" s="17" t="s">
        <v>80</v>
      </c>
      <c r="F32" s="17" t="s">
        <v>96</v>
      </c>
      <c r="G32" s="17">
        <f>BoardQty*2</f>
        <v>0</v>
      </c>
      <c r="H32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32" s="18">
        <f>iferror(G32*H32,"")</f>
        <v>0</v>
      </c>
      <c r="O32" s="17">
        <v>429154</v>
      </c>
      <c r="Q32" s="18">
        <f>iferror(lookup(if(P32="",G32,P32),{0,1,10,100,1000,2500,5000},{0.0,0.1,0.074,0.0301,0.01353,0.01174,0.0097}),"")</f>
        <v>0</v>
      </c>
      <c r="R32" s="18">
        <f>iferror(if(P32="",G32,P32)*Q32,"")</f>
        <v>0</v>
      </c>
      <c r="S32" s="20" t="s">
        <v>194</v>
      </c>
      <c r="T32" s="17">
        <v>205000</v>
      </c>
      <c r="V32" s="18">
        <f>iferror(USD_GBP*lookup(if(U32="",G32,U32),{0,1,10,100,150,500,1000,2500,5000,25000},{0.0,0.0637,0.0637,0.0246,0.0246,0.0195,0.0144,0.0131,0.011,0.0085}),"")</f>
        <v>0</v>
      </c>
      <c r="W32" s="18">
        <f>iferror(if(U32="",G32,U32)*V32,"")</f>
        <v>0</v>
      </c>
      <c r="X32" s="20" t="s">
        <v>222</v>
      </c>
      <c r="AD32" s="19" t="s">
        <v>170</v>
      </c>
      <c r="AF32" s="18">
        <f>iferror(lookup(if(AE32="",G32,AE32),{0,1,10,50,100,1000,10000},{0.0,0.1,0.074,0.074,0.031,0.012,0.009}),"")</f>
        <v>0</v>
      </c>
      <c r="AG32" s="18">
        <f>iferror(if(AE32="",G32,AE32)*AF32,"")</f>
        <v>0</v>
      </c>
      <c r="AH32" s="20" t="s">
        <v>256</v>
      </c>
      <c r="AI32" s="17">
        <v>205000</v>
      </c>
      <c r="AK32" s="18">
        <f>iferror(lookup(if(AJ32="",G32,AJ32),{0,1,10,25,50,100,5000,10000},{0.0,0.011,0.089,0.072,0.054,0.037,0.01,0.008}),"")</f>
        <v>0</v>
      </c>
      <c r="AL32" s="18">
        <f>iferror(if(AJ32="",G32,AJ32)*AK32,"")</f>
        <v>0</v>
      </c>
      <c r="AM32" s="20" t="s">
        <v>279</v>
      </c>
      <c r="AS32" s="17">
        <v>48300</v>
      </c>
      <c r="AU32" s="18">
        <f>iferror(USD_GBP*lookup(if(AT32="",G32,AT32),{0,1,100,1000,5000,15000,50000},{0.0,0.0254,0.0254,0.00811,0.00389,0.00357,0.00346}),"")</f>
        <v>0</v>
      </c>
      <c r="AV32" s="18">
        <f>iferror(if(AT32="",G32,AT32)*AU32,"")</f>
        <v>0</v>
      </c>
      <c r="AW32" s="20" t="s">
        <v>307</v>
      </c>
    </row>
    <row r="33" spans="1:49">
      <c r="A33" s="17" t="s">
        <v>97</v>
      </c>
      <c r="B33" s="17" t="s">
        <v>98</v>
      </c>
      <c r="D33" s="17" t="s">
        <v>80</v>
      </c>
      <c r="F33" s="17" t="s">
        <v>99</v>
      </c>
      <c r="G33" s="17">
        <f>BoardQty*2</f>
        <v>0</v>
      </c>
      <c r="H33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33" s="18">
        <f>iferror(G33*H33,"")</f>
        <v>0</v>
      </c>
      <c r="O33" s="17">
        <v>9845</v>
      </c>
      <c r="Q33" s="18">
        <f>iferror(lookup(if(P33="",G33,P33),{0,1,10,100,1000,2500,5000},{0.0,0.1,0.074,0.0301,0.01353,0.01174,0.0097}),"")</f>
        <v>0</v>
      </c>
      <c r="R33" s="18">
        <f>iferror(if(P33="",G33,P33)*Q33,"")</f>
        <v>0</v>
      </c>
      <c r="S33" s="20" t="s">
        <v>195</v>
      </c>
      <c r="T33" s="17">
        <v>23430</v>
      </c>
      <c r="V33" s="18">
        <f>iferror(USD_GBP*lookup(if(U33="",G33,U33),{0,1,10,100,150,500,1000,2500,5000,25000},{0.0,0.0637,0.0637,0.0222,0.0222,0.0216,0.0154,0.0132,0.011,0.008}),"")</f>
        <v>0</v>
      </c>
      <c r="W33" s="18">
        <f>iferror(if(U33="",G33,U33)*V33,"")</f>
        <v>0</v>
      </c>
      <c r="X33" s="20" t="s">
        <v>223</v>
      </c>
      <c r="AD33" s="17">
        <v>3245</v>
      </c>
      <c r="AF33" s="18">
        <f>iferror(lookup(if(AE33="",G33,AE33),{0,1,10,50,100,1000,10000},{0.0,0.23,0.054,0.054,0.019,0.014,0.008}),"")</f>
        <v>0</v>
      </c>
      <c r="AG33" s="18">
        <f>iferror(if(AE33="",G33,AE33)*AF33,"")</f>
        <v>0</v>
      </c>
      <c r="AH33" s="20" t="s">
        <v>257</v>
      </c>
      <c r="AI33" s="17">
        <v>19800</v>
      </c>
      <c r="AK33" s="18">
        <f>iferror(lookup(if(AJ33="",G33,AJ33),{0,1,10,25,50,100},{0.0,0.036,0.036,0.028,0.021,0.013}),"")</f>
        <v>0</v>
      </c>
      <c r="AL33" s="18">
        <f>iferror(if(AJ33="",G33,AJ33)*AK33,"")</f>
        <v>0</v>
      </c>
      <c r="AM33" s="20" t="s">
        <v>280</v>
      </c>
      <c r="AS33" s="19" t="s">
        <v>170</v>
      </c>
      <c r="AU33" s="18">
        <f>iferror(USD_GBP*lookup(if(AT33="",G33,AT33),{0,1,100,1000,5000,15000,50000},{0.0,0.0307,0.0307,0.01859,0.00763,0.00612,0.00564}),"")</f>
        <v>0</v>
      </c>
      <c r="AV33" s="18">
        <f>iferror(if(AT33="",G33,AT33)*AU33,"")</f>
        <v>0</v>
      </c>
      <c r="AW33" s="20" t="s">
        <v>308</v>
      </c>
    </row>
    <row r="34" spans="1:49">
      <c r="A34" s="17" t="s">
        <v>100</v>
      </c>
      <c r="B34" s="17" t="s">
        <v>101</v>
      </c>
      <c r="D34" s="17" t="s">
        <v>80</v>
      </c>
      <c r="F34" s="17" t="s">
        <v>84</v>
      </c>
      <c r="G34" s="17">
        <f>BoardQty*1</f>
        <v>0</v>
      </c>
      <c r="H34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34" s="18">
        <f>iferror(G34*H34,"")</f>
        <v>0</v>
      </c>
      <c r="O34" s="17">
        <v>373719</v>
      </c>
      <c r="Q34" s="18">
        <f>iferror(lookup(if(P34="",G34,P34),{0,1,10,100,1000,2500,5000},{0.0,0.1,0.074,0.0301,0.01353,0.01174,0.0097}),"")</f>
        <v>0</v>
      </c>
      <c r="R34" s="18">
        <f>iferror(if(P34="",G34,P34)*Q34,"")</f>
        <v>0</v>
      </c>
      <c r="S34" s="20" t="s">
        <v>190</v>
      </c>
      <c r="T34" s="17">
        <v>49429</v>
      </c>
      <c r="V34" s="18">
        <f>iferror(USD_GBP*lookup(if(U34="",G34,U34),{0,1,10,100,150,500,1000,2500,5000,25000},{0.0,0.0884,0.0884,0.035,0.035,0.0247,0.0143,0.013,0.0107,0.0078}),"")</f>
        <v>0</v>
      </c>
      <c r="W34" s="18">
        <f>iferror(if(U34="",G34,U34)*V34,"")</f>
        <v>0</v>
      </c>
      <c r="X34" s="20" t="s">
        <v>218</v>
      </c>
      <c r="AD34" s="19" t="s">
        <v>170</v>
      </c>
      <c r="AF34" s="18">
        <f>iferror(lookup(if(AE34="",G34,AE34),{0,1,10,50,100,1000,10000},{0.0,0.1,0.074,0.074,0.031,0.012,0.006}),"")</f>
        <v>0</v>
      </c>
      <c r="AG34" s="18">
        <f>iferror(if(AE34="",G34,AE34)*AF34,"")</f>
        <v>0</v>
      </c>
      <c r="AH34" s="20" t="s">
        <v>252</v>
      </c>
      <c r="AI34" s="17">
        <v>19200</v>
      </c>
      <c r="AK34" s="18">
        <f>iferror(lookup(if(AJ34="",G34,AJ34),{0,1,10,25,50,100},{0.0,0.065,0.045,0.036,0.028,0.019}),"")</f>
        <v>0</v>
      </c>
      <c r="AL34" s="18">
        <f>iferror(if(AJ34="",G34,AJ34)*AK34,"")</f>
        <v>0</v>
      </c>
      <c r="AM34" s="20" t="s">
        <v>275</v>
      </c>
      <c r="AN34" s="17">
        <v>4200</v>
      </c>
      <c r="AP34" s="18">
        <f>iferror(USD_GBP*lookup(if(AO34="",G34,AO34),{0,1,100,500,1000,2000,5000},{0.0,0.03,0.03,0.028,0.025,0.02,0.007}),"")</f>
        <v>0</v>
      </c>
      <c r="AQ34" s="18">
        <f>iferror(if(AO34="",G34,AO34)*AP34,"")</f>
        <v>0</v>
      </c>
      <c r="AR34" s="20" t="s">
        <v>295</v>
      </c>
      <c r="AS34" s="17">
        <v>36700</v>
      </c>
      <c r="AU34" s="18">
        <f>iferror(USD_GBP*lookup(if(AT34="",G34,AT34),{0,1,100,1000,5000,15000,50000},{0.0,0.0197,0.0197,0.00609,0.00382,0.00348,0.00336}),"")</f>
        <v>0</v>
      </c>
      <c r="AV34" s="18">
        <f>iferror(if(AT34="",G34,AT34)*AU34,"")</f>
        <v>0</v>
      </c>
      <c r="AW34" s="20" t="s">
        <v>304</v>
      </c>
    </row>
    <row r="35" spans="1:49">
      <c r="A35" s="17" t="s">
        <v>102</v>
      </c>
      <c r="B35" s="17" t="s">
        <v>103</v>
      </c>
      <c r="D35" s="17" t="s">
        <v>80</v>
      </c>
      <c r="F35" s="17" t="s">
        <v>104</v>
      </c>
      <c r="G35" s="17">
        <f>BoardQty*2</f>
        <v>0</v>
      </c>
      <c r="H35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35" s="18">
        <f>iferror(G35*H35,"")</f>
        <v>0</v>
      </c>
      <c r="O35" s="17">
        <v>25000</v>
      </c>
      <c r="Q35" s="18">
        <f>iferror(lookup(if(P35="",G35,P35),{0,1,10,100,1000,2500,5000},{0.0,0.1,0.036,0.0146,0.00655,0.00569,0.0047}),"")</f>
        <v>0</v>
      </c>
      <c r="R35" s="18">
        <f>iferror(if(P35="",G35,P35)*Q35,"")</f>
        <v>0</v>
      </c>
      <c r="S35" s="20" t="s">
        <v>196</v>
      </c>
    </row>
    <row r="36" spans="1:49">
      <c r="A36" s="17" t="s">
        <v>105</v>
      </c>
      <c r="B36" s="17" t="s">
        <v>106</v>
      </c>
      <c r="D36" s="17" t="s">
        <v>80</v>
      </c>
      <c r="F36" s="17" t="s">
        <v>107</v>
      </c>
      <c r="G36" s="17">
        <f>BoardQty*2</f>
        <v>0</v>
      </c>
      <c r="H36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36" s="18">
        <f>iferror(G36*H36,"")</f>
        <v>0</v>
      </c>
      <c r="O36" s="17">
        <v>690319</v>
      </c>
      <c r="Q36" s="18">
        <f>iferror(lookup(if(P36="",G36,P36),{0,1,10,100,1000,2500,5000},{0.0,0.1,0.074,0.0301,0.01353,0.01174,0.0097}),"")</f>
        <v>0</v>
      </c>
      <c r="R36" s="18">
        <f>iferror(if(P36="",G36,P36)*Q36,"")</f>
        <v>0</v>
      </c>
      <c r="S36" s="20" t="s">
        <v>197</v>
      </c>
      <c r="T36" s="17">
        <v>65940</v>
      </c>
      <c r="V36" s="18">
        <f>iferror(USD_GBP*lookup(if(U36="",G36,U36),{0,1,10,100,150,500,1000,2500,5000,25000},{0.0,0.0884,0.0884,0.035,0.035,0.0247,0.0143,0.013,0.0107,0.0084}),"")</f>
        <v>0</v>
      </c>
      <c r="W36" s="18">
        <f>iferror(if(U36="",G36,U36)*V36,"")</f>
        <v>0</v>
      </c>
      <c r="X36" s="20" t="s">
        <v>224</v>
      </c>
      <c r="AD36" s="17">
        <v>4132</v>
      </c>
      <c r="AF36" s="18">
        <f>iferror(lookup(if(AE36="",G36,AE36),{0,1,10,50,100,1000,10000},{0.0,0.1,0.074,0.074,0.031,0.012,0.009}),"")</f>
        <v>0</v>
      </c>
      <c r="AG36" s="18">
        <f>iferror(if(AE36="",G36,AE36)*AF36,"")</f>
        <v>0</v>
      </c>
      <c r="AH36" s="20" t="s">
        <v>258</v>
      </c>
      <c r="AI36" s="17">
        <v>14620</v>
      </c>
      <c r="AK36" s="18">
        <f>iferror(lookup(if(AJ36="",G36,AJ36),{0,1,10,25,50,100},{0.0,0.066,0.046,0.037,0.028,0.019}),"")</f>
        <v>0</v>
      </c>
      <c r="AL36" s="18">
        <f>iferror(if(AJ36="",G36,AJ36)*AK36,"")</f>
        <v>0</v>
      </c>
      <c r="AM36" s="20" t="s">
        <v>281</v>
      </c>
      <c r="AN36" s="17">
        <v>4500</v>
      </c>
      <c r="AP36" s="18">
        <f>iferror(USD_GBP*lookup(if(AO36="",G36,AO36),{0,1,100,500,1000,2000,5000},{0.0,0.03,0.03,0.028,0.025,0.02,0.007}),"")</f>
        <v>0</v>
      </c>
      <c r="AQ36" s="18">
        <f>iferror(if(AO36="",G36,AO36)*AP36,"")</f>
        <v>0</v>
      </c>
      <c r="AR36" s="20" t="s">
        <v>297</v>
      </c>
      <c r="AS36" s="19" t="s">
        <v>170</v>
      </c>
      <c r="AU36" s="18">
        <f>iferror(USD_GBP*lookup(if(AT36="",G36,AT36),{0,1,100,1000,5000,15000,50000},{0.0,0.0308,0.0308,0.00981,0.00481,0.00444,0.00428}),"")</f>
        <v>0</v>
      </c>
      <c r="AV36" s="18">
        <f>iferror(if(AT36="",G36,AT36)*AU36,"")</f>
        <v>0</v>
      </c>
      <c r="AW36" s="20" t="s">
        <v>309</v>
      </c>
    </row>
    <row r="37" spans="1:49">
      <c r="A37" s="17" t="s">
        <v>108</v>
      </c>
      <c r="B37" s="17" t="s">
        <v>109</v>
      </c>
      <c r="D37" s="17" t="s">
        <v>80</v>
      </c>
      <c r="F37" s="17" t="s">
        <v>110</v>
      </c>
      <c r="G37" s="17">
        <f>BoardQty*7</f>
        <v>0</v>
      </c>
      <c r="H37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37" s="18">
        <f>iferror(G37*H37,"")</f>
        <v>0</v>
      </c>
      <c r="O37" s="17">
        <v>2611622</v>
      </c>
      <c r="Q37" s="18">
        <f>iferror(lookup(if(P37="",G37,P37),{0,1,10,100,1000,2500,5000},{0.0,0.1,0.074,0.0301,0.01353,0.01174,0.0097}),"")</f>
        <v>0</v>
      </c>
      <c r="R37" s="18">
        <f>iferror(if(P37="",G37,P37)*Q37,"")</f>
        <v>0</v>
      </c>
      <c r="S37" s="20" t="s">
        <v>198</v>
      </c>
      <c r="T37" s="17">
        <v>270000</v>
      </c>
      <c r="V37" s="18">
        <f>iferror(USD_GBP*lookup(if(U37="",G37,U37),{0,1,10,100,150,500,1000,2500,5000,25000},{0.0,0.0637,0.0637,0.0246,0.0246,0.0195,0.0143,0.013,0.0112,0.0086}),"")</f>
        <v>0</v>
      </c>
      <c r="W37" s="18">
        <f>iferror(if(U37="",G37,U37)*V37,"")</f>
        <v>0</v>
      </c>
      <c r="X37" s="20" t="s">
        <v>225</v>
      </c>
      <c r="AD37" s="19" t="s">
        <v>170</v>
      </c>
      <c r="AF37" s="18">
        <f>iferror(lookup(if(AE37="",G37,AE37),{0,1,10,50,100,1000,10000},{0.0,0.1,0.074,0.074,0.031,0.012,0.007}),"")</f>
        <v>0</v>
      </c>
      <c r="AG37" s="18">
        <f>iferror(if(AE37="",G37,AE37)*AF37,"")</f>
        <v>0</v>
      </c>
      <c r="AH37" s="20" t="s">
        <v>259</v>
      </c>
      <c r="AI37" s="17">
        <v>270000</v>
      </c>
      <c r="AK37" s="18">
        <f>iferror(lookup(if(AJ37="",G37,AJ37),{0,1,10,25,50,100,250,500,1000,2500,5000,10000,20000},{0.0,0.011,0.074,0.06,0.045,0.031,0.035,0.027,0.022,0.018,0.01,0.008,0.009}),"")</f>
        <v>0</v>
      </c>
      <c r="AL37" s="18">
        <f>iferror(if(AJ37="",G37,AJ37)*AK37,"")</f>
        <v>0</v>
      </c>
      <c r="AM37" s="20" t="s">
        <v>282</v>
      </c>
      <c r="AN37" s="17">
        <v>115000</v>
      </c>
      <c r="AP37" s="18">
        <f>iferror(USD_GBP*lookup(if(AO37="",G37,AO37),{0,1,5000},{0.0,0.01,0.01}),"")</f>
        <v>0</v>
      </c>
      <c r="AQ37" s="18">
        <f>iferror(if(AO37="",G37,AO37)*AP37,"")</f>
        <v>0</v>
      </c>
      <c r="AR37" s="20" t="s">
        <v>298</v>
      </c>
      <c r="AS37" s="17">
        <v>196800</v>
      </c>
      <c r="AU37" s="18">
        <f>iferror(USD_GBP*lookup(if(AT37="",G37,AT37),{0,1,100,1000,5000,15000,50000},{0.0,0.0231,0.0231,0.00687,0.00326,0.00291,0.00281}),"")</f>
        <v>0</v>
      </c>
      <c r="AV37" s="18">
        <f>iferror(if(AT37="",G37,AT37)*AU37,"")</f>
        <v>0</v>
      </c>
      <c r="AW37" s="20" t="s">
        <v>310</v>
      </c>
    </row>
    <row r="38" spans="1:49">
      <c r="A38" s="17" t="s">
        <v>111</v>
      </c>
      <c r="B38" s="17" t="s">
        <v>112</v>
      </c>
      <c r="D38" s="17" t="s">
        <v>80</v>
      </c>
      <c r="F38" s="17" t="s">
        <v>113</v>
      </c>
      <c r="G38" s="17">
        <f>BoardQty*2</f>
        <v>0</v>
      </c>
      <c r="H38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38" s="18">
        <f>iferror(G38*H38,"")</f>
        <v>0</v>
      </c>
      <c r="O38" s="17">
        <v>658979</v>
      </c>
      <c r="Q38" s="18">
        <f>iferror(lookup(if(P38="",G38,P38),{0,1,10,100,1000,2500,5000},{0.0,0.1,0.036,0.0146,0.00655,0.00569,0.0047}),"")</f>
        <v>0</v>
      </c>
      <c r="R38" s="18">
        <f>iferror(if(P38="",G38,P38)*Q38,"")</f>
        <v>0</v>
      </c>
      <c r="S38" s="20" t="s">
        <v>199</v>
      </c>
    </row>
    <row r="39" spans="1:49">
      <c r="A39" s="17" t="s">
        <v>114</v>
      </c>
      <c r="B39" s="17" t="s">
        <v>115</v>
      </c>
      <c r="D39" s="17" t="s">
        <v>116</v>
      </c>
      <c r="G39" s="17">
        <f>BoardQty*2</f>
        <v>0</v>
      </c>
      <c r="H39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39" s="18">
        <f>iferror(G39*H39,"")</f>
        <v>0</v>
      </c>
    </row>
    <row r="40" spans="1:49">
      <c r="A40" s="17" t="s">
        <v>117</v>
      </c>
      <c r="B40" s="17" t="s">
        <v>118</v>
      </c>
      <c r="C40" s="17" t="s">
        <v>119</v>
      </c>
      <c r="D40" s="17" t="s">
        <v>120</v>
      </c>
      <c r="F40" s="17" t="s">
        <v>118</v>
      </c>
      <c r="G40" s="17">
        <f>BoardQty*1</f>
        <v>0</v>
      </c>
      <c r="H40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40" s="18">
        <f>iferror(G40*H40,"")</f>
        <v>0</v>
      </c>
      <c r="O40" s="19" t="s">
        <v>170</v>
      </c>
      <c r="Q40" s="18">
        <f>iferror(lookup(if(P40="",G40,P40),{0,1,10,25,100,250,500,1000,3000},{0.0,2.72,2.447,2.308,1.9665,1.84652,1.6157,1.52425,1.52425}),"")</f>
        <v>0</v>
      </c>
      <c r="R40" s="18">
        <f>iferror(if(P40="",G40,P40)*Q40,"")</f>
        <v>0</v>
      </c>
      <c r="S40" s="20" t="s">
        <v>200</v>
      </c>
      <c r="AD40" s="19" t="s">
        <v>170</v>
      </c>
      <c r="AF40" s="18">
        <f>iferror(lookup(if(AE40="",G40,AE40),{0,1,10,50,100,1000,10000},{0.0,2.72,2.45,2.31,1.97,1.34,1.34}),"")</f>
        <v>0</v>
      </c>
      <c r="AG40" s="18">
        <f>iferror(if(AE40="",G40,AE40)*AF40,"")</f>
        <v>0</v>
      </c>
      <c r="AH40" s="20" t="s">
        <v>260</v>
      </c>
      <c r="AN40" s="17">
        <v>511</v>
      </c>
      <c r="AP40" s="18">
        <f>iferror(USD_GBP*lookup(if(AO40="",G40,AO40),{0,1,5,3000,15000},{0.0,2.14,2.14,0.992,0.967}),"")</f>
        <v>0</v>
      </c>
      <c r="AQ40" s="18">
        <f>iferror(if(AO40="",G40,AO40)*AP40,"")</f>
        <v>0</v>
      </c>
      <c r="AR40" s="20" t="s">
        <v>299</v>
      </c>
    </row>
    <row r="41" spans="1:49">
      <c r="A41" s="17" t="s">
        <v>121</v>
      </c>
      <c r="B41" s="17" t="s">
        <v>122</v>
      </c>
      <c r="C41" s="17" t="s">
        <v>123</v>
      </c>
      <c r="D41" s="17" t="s">
        <v>124</v>
      </c>
      <c r="E41" s="17" t="s">
        <v>125</v>
      </c>
      <c r="F41" s="17" t="s">
        <v>126</v>
      </c>
      <c r="G41" s="17">
        <f>BoardQty*1</f>
        <v>0</v>
      </c>
      <c r="H41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41" s="18">
        <f>iferror(G41*H41,"")</f>
        <v>0</v>
      </c>
    </row>
    <row r="42" spans="1:49">
      <c r="A42" s="17" t="s">
        <v>127</v>
      </c>
      <c r="B42" s="17" t="s">
        <v>128</v>
      </c>
      <c r="D42" s="17" t="s">
        <v>129</v>
      </c>
      <c r="F42" s="17" t="s">
        <v>130</v>
      </c>
      <c r="G42" s="17">
        <f>BoardQty*1</f>
        <v>0</v>
      </c>
      <c r="H42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42" s="18">
        <f>iferror(G42*H42,"")</f>
        <v>0</v>
      </c>
      <c r="O42" s="19" t="s">
        <v>170</v>
      </c>
      <c r="Q42" s="18">
        <f>iferror(lookup(if(P42="",G42,P42),{0,1,10,25,100,250,500,1000,3000,6000,15000,30000,75000},{0.0,0.28,0.228,0.1908,0.1208,0.09328,0.0795,0.05406,0.04876,0.0424,0.03604,0.03392,0.0318}),"")</f>
        <v>0</v>
      </c>
      <c r="R42" s="18">
        <f>iferror(if(P42="",G42,P42)*Q42,"")</f>
        <v>0</v>
      </c>
      <c r="S42" s="20" t="s">
        <v>201</v>
      </c>
      <c r="T42" s="17">
        <v>229</v>
      </c>
      <c r="V42" s="18">
        <f>iferror(USD_GBP*lookup(if(U42="",G42,U42),{0,1,5,10,100,150,500},{0.0,0.425,0.425,0.309,0.144,0.144,0.104}),"")</f>
        <v>0</v>
      </c>
      <c r="W42" s="18">
        <f>iferror(if(U42="",G42,U42)*V42,"")</f>
        <v>0</v>
      </c>
      <c r="X42" s="20" t="s">
        <v>226</v>
      </c>
      <c r="AD42" s="19" t="s">
        <v>170</v>
      </c>
      <c r="AF42" s="18">
        <f>iferror(lookup(if(AE42="",G42,AE42),{0,1,10,50,100,1000,10000},{0.0,0.36,0.267,0.267,0.134,0.077,0.053}),"")</f>
        <v>0</v>
      </c>
      <c r="AG42" s="18">
        <f>iferror(if(AE42="",G42,AE42)*AF42,"")</f>
        <v>0</v>
      </c>
      <c r="AH42" s="20" t="s">
        <v>261</v>
      </c>
      <c r="AI42" s="17">
        <v>174</v>
      </c>
      <c r="AK42" s="18">
        <f>iferror(lookup(if(AJ42="",G42,AJ42),{0,1,5,10,25,50,100,250,500,1000,3000,18000,27000,45000,90000},{0.0,0.028,0.356,0.229,0.187,0.144,0.101,0.094,0.087,0.079,0.028,0.027,0.026,0.025,0.024}),"")</f>
        <v>0</v>
      </c>
      <c r="AL42" s="18">
        <f>iferror(if(AJ42="",G42,AJ42)*AK42,"")</f>
        <v>0</v>
      </c>
      <c r="AM42" s="20" t="s">
        <v>283</v>
      </c>
      <c r="AN42" s="17">
        <v>300</v>
      </c>
      <c r="AP42" s="18">
        <f>iferror(USD_GBP*lookup(if(AO42="",G42,AO42),{0,1,100,500,1000,3000,6000},{0.0,0.083,0.083,0.079,0.071,0.047,0.045}),"")</f>
        <v>0</v>
      </c>
      <c r="AQ42" s="18">
        <f>iferror(if(AO42="",G42,AO42)*AP42,"")</f>
        <v>0</v>
      </c>
      <c r="AR42" s="20" t="s">
        <v>300</v>
      </c>
      <c r="AS42" s="17">
        <v>3022</v>
      </c>
      <c r="AU42" s="18">
        <f>iferror(USD_GBP*lookup(if(AT42="",G42,AT42),{0,1,10,50,250,1000,3000},{0.0,0.062,0.062,0.0334,0.029,0.0253,0.0236}),"")</f>
        <v>0</v>
      </c>
      <c r="AV42" s="18">
        <f>iferror(if(AT42="",G42,AT42)*AU42,"")</f>
        <v>0</v>
      </c>
      <c r="AW42" s="20" t="s">
        <v>311</v>
      </c>
    </row>
    <row r="43" spans="1:49">
      <c r="A43" s="17" t="s">
        <v>131</v>
      </c>
      <c r="B43" s="17" t="s">
        <v>132</v>
      </c>
      <c r="D43" s="17" t="s">
        <v>133</v>
      </c>
      <c r="F43" s="17" t="s">
        <v>132</v>
      </c>
      <c r="G43" s="17">
        <f>BoardQty*1</f>
        <v>0</v>
      </c>
      <c r="H43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43" s="18">
        <f>iferror(G43*H43,"")</f>
        <v>0</v>
      </c>
      <c r="O43" s="17">
        <v>2933</v>
      </c>
      <c r="Q43" s="18">
        <f>iferror(lookup(if(P43="",G43,P43),{0,1,10,25,100,250,500,1000,3000},{0.0,1.8,1.615,1.5236,1.2982,1.219,1.06662,0.88378,0.8625}),"")</f>
        <v>0</v>
      </c>
      <c r="R43" s="18">
        <f>iferror(if(P43="",G43,P43)*Q43,"")</f>
        <v>0</v>
      </c>
      <c r="S43" s="20" t="s">
        <v>202</v>
      </c>
    </row>
    <row r="44" spans="1:49">
      <c r="A44" s="17" t="s">
        <v>134</v>
      </c>
      <c r="B44" s="17" t="s">
        <v>135</v>
      </c>
      <c r="D44" s="17" t="s">
        <v>133</v>
      </c>
      <c r="F44" s="17" t="s">
        <v>135</v>
      </c>
      <c r="G44" s="17">
        <f>BoardQty*1</f>
        <v>0</v>
      </c>
      <c r="H44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44" s="18">
        <f>iferror(G44*H44,"")</f>
        <v>0</v>
      </c>
      <c r="O44" s="17">
        <v>1706</v>
      </c>
      <c r="Q44" s="18">
        <f>iferror(lookup(if(P44="",G44,P44),{0,1,10,25,100,250,500,1000,36000},{0.0,1.72,1.542,1.4548,1.2395,1.16388,1.0184,0.84381,0.7686}),"")</f>
        <v>0</v>
      </c>
      <c r="R44" s="18">
        <f>iferror(if(P44="",G44,P44)*Q44,"")</f>
        <v>0</v>
      </c>
      <c r="S44" s="20" t="s">
        <v>203</v>
      </c>
      <c r="T44" s="19" t="s">
        <v>170</v>
      </c>
      <c r="V44" s="18">
        <f>iferror(USD_GBP*lookup(if(U44="",G44,U44),{0,1,10,25,100,250,500},{0.0,1.8,1.63,1.46,1.31,1.17,1.02}),"")</f>
        <v>0</v>
      </c>
      <c r="W44" s="18">
        <f>iferror(if(U44="",G44,U44)*V44,"")</f>
        <v>0</v>
      </c>
      <c r="X44" s="20" t="s">
        <v>227</v>
      </c>
    </row>
    <row r="45" spans="1:49">
      <c r="A45" s="17" t="s">
        <v>136</v>
      </c>
      <c r="B45" s="17" t="s">
        <v>137</v>
      </c>
      <c r="D45" s="17" t="s">
        <v>138</v>
      </c>
      <c r="F45" s="17" t="s">
        <v>139</v>
      </c>
      <c r="G45" s="17">
        <f>BoardQty*2</f>
        <v>0</v>
      </c>
      <c r="H45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45" s="18">
        <f>iferror(G45*H45,"")</f>
        <v>0</v>
      </c>
      <c r="O45" s="19" t="s">
        <v>170</v>
      </c>
      <c r="Q45" s="18">
        <f>iferror(lookup(if(P45="",G45,P45),{0,1,10,100,500,1000,3000},{0.0,0.92,0.808,0.6195,0.48972,0.40425,0.40425}),"")</f>
        <v>0</v>
      </c>
      <c r="R45" s="18">
        <f>iferror(if(P45="",G45,P45)*Q45,"")</f>
        <v>0</v>
      </c>
      <c r="S45" s="20" t="s">
        <v>204</v>
      </c>
      <c r="T45" s="19" t="s">
        <v>170</v>
      </c>
      <c r="V45" s="18">
        <f>iferror(USD_GBP*lookup(if(U45="",G45,U45),{0,1,10,100,500,1000},{0.0,0.9,0.752,0.53,0.42,0.412}),"")</f>
        <v>0</v>
      </c>
      <c r="W45" s="18">
        <f>iferror(if(U45="",G45,U45)*V45,"")</f>
        <v>0</v>
      </c>
      <c r="X45" s="20" t="s">
        <v>228</v>
      </c>
      <c r="AD45" s="19" t="s">
        <v>170</v>
      </c>
      <c r="AF45" s="18">
        <f>iferror(lookup(if(AE45="",G45,AE45),{0,1,10,50,100,1000,10000},{0.0,0.94,0.825,0.825,0.652,0.426,0.412}),"")</f>
        <v>0</v>
      </c>
      <c r="AG45" s="18">
        <f>iferror(if(AE45="",G45,AE45)*AF45,"")</f>
        <v>0</v>
      </c>
      <c r="AH45" s="20" t="s">
        <v>262</v>
      </c>
      <c r="AI45" s="19" t="s">
        <v>170</v>
      </c>
      <c r="AK45" s="18">
        <f>iferror(lookup(if(AJ45="",G45,AJ45),{0,1,10,25,50,100,250},{0.0,1.16,1.09,1.03,0.973,0.915,0.863}),"")</f>
        <v>0</v>
      </c>
      <c r="AL45" s="18">
        <f>iferror(if(AJ45="",G45,AJ45)*AK45,"")</f>
        <v>0</v>
      </c>
      <c r="AM45" s="20" t="s">
        <v>284</v>
      </c>
    </row>
    <row r="46" spans="1:49">
      <c r="A46" s="17" t="s">
        <v>140</v>
      </c>
      <c r="B46" s="17" t="s">
        <v>141</v>
      </c>
      <c r="D46" s="17" t="s">
        <v>141</v>
      </c>
      <c r="F46" s="17" t="s">
        <v>141</v>
      </c>
      <c r="G46" s="17">
        <f>BoardQty*1</f>
        <v>0</v>
      </c>
      <c r="H46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46" s="18">
        <f>iferror(G46*H46,"")</f>
        <v>0</v>
      </c>
      <c r="O46" s="17">
        <v>74</v>
      </c>
      <c r="Q46" s="18">
        <f>iferror(lookup(if(P46="",G46,P46),{0,1,25},{0.0,4.21,3.66}),"")</f>
        <v>0</v>
      </c>
      <c r="R46" s="18">
        <f>iferror(if(P46="",G46,P46)*Q46,"")</f>
        <v>0</v>
      </c>
      <c r="S46" s="20" t="s">
        <v>205</v>
      </c>
      <c r="T46" s="19" t="s">
        <v>170</v>
      </c>
      <c r="V46" s="18">
        <f>iferror(USD_GBP*lookup(if(U46="",G46,U46),{0,1,10,100,250,500},{0.0,3.87,3.08,2.16,2.07,2.02}),"")</f>
        <v>0</v>
      </c>
      <c r="W46" s="18">
        <f>iferror(if(U46="",G46,U46)*V46,"")</f>
        <v>0</v>
      </c>
      <c r="X46" s="20" t="s">
        <v>229</v>
      </c>
      <c r="AD46" s="19" t="s">
        <v>170</v>
      </c>
      <c r="AF46" s="18">
        <f>iferror(lookup(if(AE46="",G46,AE46),{0,1,10,50,100,1000,10000},{0.0,4.47,4.47,3.73,3.66,3.66,3.66}),"")</f>
        <v>0</v>
      </c>
      <c r="AG46" s="18">
        <f>iferror(if(AE46="",G46,AE46)*AF46,"")</f>
        <v>0</v>
      </c>
      <c r="AH46" s="20" t="s">
        <v>263</v>
      </c>
      <c r="AI46" s="19" t="s">
        <v>170</v>
      </c>
      <c r="AK46" s="18">
        <f>iferror(lookup(if(AJ46="",G46,AJ46),{0,1,10,25,160},{0.0,4.63,4.26,3.89,3.89}),"")</f>
        <v>0</v>
      </c>
      <c r="AL46" s="18">
        <f>iferror(if(AJ46="",G46,AJ46)*AK46,"")</f>
        <v>0</v>
      </c>
      <c r="AM46" s="20" t="s">
        <v>285</v>
      </c>
    </row>
    <row r="47" spans="1:49">
      <c r="A47" s="17" t="s">
        <v>142</v>
      </c>
      <c r="B47" s="17" t="s">
        <v>143</v>
      </c>
      <c r="D47" s="17" t="s">
        <v>144</v>
      </c>
      <c r="E47" s="17" t="s">
        <v>145</v>
      </c>
      <c r="F47" s="17" t="s">
        <v>143</v>
      </c>
      <c r="G47" s="17">
        <f>BoardQty*1</f>
        <v>0</v>
      </c>
      <c r="H47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47" s="18">
        <f>iferror(G47*H47,"")</f>
        <v>0</v>
      </c>
    </row>
    <row r="48" spans="1:49">
      <c r="A48" s="17" t="s">
        <v>146</v>
      </c>
      <c r="B48" s="17" t="s">
        <v>147</v>
      </c>
      <c r="D48" s="17" t="s">
        <v>148</v>
      </c>
      <c r="F48" s="17" t="s">
        <v>149</v>
      </c>
      <c r="G48" s="17">
        <f>BoardQty*1</f>
        <v>0</v>
      </c>
      <c r="H48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48" s="18">
        <f>iferror(G48*H48,"")</f>
        <v>0</v>
      </c>
      <c r="O48" s="17">
        <v>7995</v>
      </c>
      <c r="Q48" s="18">
        <f>iferror(lookup(if(P48="",G48,P48),{0,1,10,50,100,500,1000,3000,5000,10000},{0.0,0.37,0.312,0.2812,0.2499,0.2374,0.19992,0.18743,0.18118,0.17493}),"")</f>
        <v>0</v>
      </c>
      <c r="R48" s="18">
        <f>iferror(if(P48="",G48,P48)*Q48,"")</f>
        <v>0</v>
      </c>
      <c r="S48" s="20" t="s">
        <v>206</v>
      </c>
      <c r="AN48" s="17">
        <v>15</v>
      </c>
      <c r="AP48" s="18">
        <f>iferror(USD_GBP*lookup(if(AO48="",G48,AO48),{0,1,1000},{0.0,0.141,0.141}),"")</f>
        <v>0</v>
      </c>
      <c r="AQ48" s="18">
        <f>iferror(if(AO48="",G48,AO48)*AP48,"")</f>
        <v>0</v>
      </c>
      <c r="AR48" s="20" t="s">
        <v>301</v>
      </c>
    </row>
    <row r="50" spans="1:48">
      <c r="B50" s="21" t="s">
        <v>152</v>
      </c>
      <c r="H50" s="1" t="s">
        <v>150</v>
      </c>
      <c r="I50" s="5">
        <f>SUM(INDIRECT(ADDRESS(ROW(),COLUMN(arrow_part_data)+3)),INDIRECT(ADDRESS(ROW(),COLUMN(digikey_part_data)+3)),INDIRECT(ADDRESS(ROW(),COLUMN(farnell_part_data)+3)),INDIRECT(ADDRESS(ROW(),COLUMN(mouser_part_data)+3)),INDIRECT(ADDRESS(ROW(),COLUMN(newark_part_data)+3)),INDIRECT(ADDRESS(ROW(),COLUMN(rs_part_data)+3)),INDIRECT(ADDRESS(ROW(),COLUMN(tme_part_data)+3)),INDIRECT(ADDRESS(ROW(),COLUMN(lcsc_part_data)+3)))</f>
        <v>0</v>
      </c>
      <c r="K50" s="6">
        <f>IFERROR(IF(OR(K7:K48),COUNTIFS(K7:K48,"&gt;0",M7:M48,"&lt;&gt;")&amp;" of "&amp;(ROWS(M7:M48)-COUNTBLANK(M7:M48))&amp;" parts purchased",""),"")</f>
        <v>0</v>
      </c>
      <c r="M50" s="5">
        <f>SUMIF(K7:K48,"&gt;0",M7:M48)</f>
        <v>0</v>
      </c>
      <c r="P50" s="6">
        <f>IFERROR(IF(OR(P7:P48),COUNTIFS(P7:P48,"&gt;0",R7:R48,"&lt;&gt;")&amp;" of "&amp;(ROWS(R7:R48)-COUNTBLANK(R7:R48))&amp;" parts purchased",""),"")</f>
        <v>0</v>
      </c>
      <c r="R50" s="5">
        <f>SUMIF(P7:P48,"&gt;0",R7:R48)</f>
        <v>0</v>
      </c>
      <c r="U50" s="6">
        <f>IFERROR(IF(OR(U7:U48),COUNTIFS(U7:U48,"&gt;0",W7:W48,"&lt;&gt;")&amp;" of "&amp;(ROWS(W7:W48)-COUNTBLANK(W7:W48))&amp;" parts purchased",""),"")</f>
        <v>0</v>
      </c>
      <c r="W50" s="5">
        <f>SUMIF(U7:U48,"&gt;0",W7:W48)</f>
        <v>0</v>
      </c>
      <c r="Z50" s="6">
        <f>IFERROR(IF(OR(Z7:Z48),COUNTIFS(Z7:Z48,"&gt;0",AB7:AB48,"&lt;&gt;")&amp;" of "&amp;(ROWS(AB7:AB48)-COUNTBLANK(AB7:AB48))&amp;" parts purchased",""),"")</f>
        <v>0</v>
      </c>
      <c r="AB50" s="5">
        <f>SUMIF(Z7:Z48,"&gt;0",AB7:AB48)</f>
        <v>0</v>
      </c>
      <c r="AE50" s="6">
        <f>IFERROR(IF(OR(AE7:AE48),COUNTIFS(AE7:AE48,"&gt;0",AG7:AG48,"&lt;&gt;")&amp;" of "&amp;(ROWS(AG7:AG48)-COUNTBLANK(AG7:AG48))&amp;" parts purchased",""),"")</f>
        <v>0</v>
      </c>
      <c r="AG50" s="5">
        <f>SUMIF(AE7:AE48,"&gt;0",AG7:AG48)</f>
        <v>0</v>
      </c>
      <c r="AJ50" s="6">
        <f>IFERROR(IF(OR(AJ7:AJ48),COUNTIFS(AJ7:AJ48,"&gt;0",AL7:AL48,"&lt;&gt;")&amp;" of "&amp;(ROWS(AL7:AL48)-COUNTBLANK(AL7:AL48))&amp;" parts purchased",""),"")</f>
        <v>0</v>
      </c>
      <c r="AL50" s="5">
        <f>SUMIF(AJ7:AJ48,"&gt;0",AL7:AL48)</f>
        <v>0</v>
      </c>
      <c r="AO50" s="6">
        <f>IFERROR(IF(OR(AO7:AO48),COUNTIFS(AO7:AO48,"&gt;0",AQ7:AQ48,"&lt;&gt;")&amp;" of "&amp;(ROWS(AQ7:AQ48)-COUNTBLANK(AQ7:AQ48))&amp;" parts purchased",""),"")</f>
        <v>0</v>
      </c>
      <c r="AQ50" s="5">
        <f>SUMIF(AO7:AO48,"&gt;0",AQ7:AQ48)</f>
        <v>0</v>
      </c>
      <c r="AT50" s="6">
        <f>IFERROR(IF(OR(AT7:AT48),COUNTIFS(AT7:AT48,"&gt;0",AV7:AV48,"&lt;&gt;")&amp;" of "&amp;(ROWS(AV7:AV48)-COUNTBLANK(AV7:AV48))&amp;" parts purchased",""),"")</f>
        <v>0</v>
      </c>
      <c r="AV50" s="5">
        <f>SUMIF(AT7:AT48,"&gt;0",AV7:AV48)</f>
        <v>0</v>
      </c>
    </row>
    <row r="51" spans="1:48">
      <c r="B51" s="21" t="s">
        <v>153</v>
      </c>
      <c r="C51">
        <v>1.408455605173114</v>
      </c>
      <c r="H51" s="21" t="s">
        <v>151</v>
      </c>
      <c r="K51">
        <f t="array" ref="K51">IFERROR(CONCATENATE(INDEX(N7:N48,SMALL(IF(ISNUMBER(K7:K48),IF(K7:K48&gt;0,IF(N7:N48&lt;&gt;"",ROW(K7:K48)-MIN(ROW(K7:K48))+1))),ROW()-ROW(A$51)+1)),",",TEXT(INDEX(K7:K48,SMALL(IF(ISNUMBER(K7:K48),IF(K7:K48&gt;0,IF(N7:N48&lt;&gt;"",ROW(K7:K48)-MIN(ROW(K7:K48))+1))),ROW()-ROW(A$51)+1)),"##0"),",",SUBSTITUTE(INDEX(IF(PURCHASE_DESCRIPTION&lt;&gt;"",PURCHASE_DESCRIPTION&amp;":","")&amp;A7:A48,SMALL(IF(ISNUMBER(K7:K48),IF(K7:K48&gt;0,IF(N7:N48&lt;&gt;"",ROW(K7:K48)-MIN(ROW(K7:K48))+1))),ROW()-ROW(A$51)+1)),",",";")),"")</f>
        <v>0</v>
      </c>
      <c r="P51">
        <f t="array" ref="P51">IFERROR(CONCATENATE(TEXT(INDEX(P7:P48,SMALL(IF(ISNUMBER(P7:P48),IF(P7:P48&gt;0,IF(S7:S48&lt;&gt;"",ROW(P7:P48)-MIN(ROW(P7:P48))+1))),ROW()-ROW(A$51)+1)),"##0"),",",INDEX(S7:S48,SMALL(IF(ISNUMBER(P7:P48),IF(P7:P48&gt;0,IF(S7:S48&lt;&gt;"",ROW(P7:P48)-MIN(ROW(P7:P48))+1))),ROW()-ROW(A$51)+1)),",",SUBSTITUTE(INDEX(IF(PURCHASE_DESCRIPTION&lt;&gt;"",PURCHASE_DESCRIPTION&amp;":","")&amp;A7:A48,SMALL(IF(ISNUMBER(P7:P48),IF(P7:P48&gt;0,IF(S7:S48&lt;&gt;"",ROW(P7:P48)-MIN(ROW(P7:P48))+1))),ROW()-ROW(A$51)+1)),",",";")),"")</f>
        <v>0</v>
      </c>
      <c r="U51">
        <f t="array" ref="U51">IFERROR(CONCATENATE(INDEX(X7:X48,SMALL(IF(ISNUMBER(U7:U48),IF(U7:U48&gt;0,IF(X7:X48&lt;&gt;"",ROW(U7:U48)-MIN(ROW(U7:U48))+1))),ROW()-ROW(A$51)+1))," ",TEXT(INDEX(U7:U48,SMALL(IF(ISNUMBER(U7:U48),IF(U7:U48&gt;0,IF(X7:X48&lt;&gt;"",ROW(U7:U48)-MIN(ROW(U7:U48))+1))),ROW()-ROW(A$51)+1)),"##0")," ",SUBSTITUTE(INDEX(IF(PURCHASE_DESCRIPTION&lt;&gt;"",PURCHASE_DESCRIPTION&amp;":","")&amp;A7:A48,SMALL(IF(ISNUMBER(U7:U48),IF(U7:U48&gt;0,IF(X7:X48&lt;&gt;"",ROW(U7:U48)-MIN(ROW(U7:U48))+1))),ROW()-ROW(A$51)+1))," ",";")),"")</f>
        <v>0</v>
      </c>
      <c r="Z51" s="6">
        <f>IFERROR(IF(COUNTIFS(Z7:Z48,"&gt;0",AB7:AB48,"&lt;&gt;")&gt;0,"Quantity,Comment,Designator,Footprint,LCSC Part #(optional)",""),"")</f>
        <v>0</v>
      </c>
      <c r="AE51">
        <f t="array" ref="AE51">IFERROR(CONCATENATE(INDEX(AH7:AH48,SMALL(IF(ISNUMBER(AE7:AE48),IF(AE7:AE48&gt;0,IF(AH7:AH48&lt;&gt;"",ROW(AE7:AE48)-MIN(ROW(AE7:AE48))+1))),ROW()-ROW(A$51)+1)),"|",TEXT(INDEX(AE7:AE48,SMALL(IF(ISNUMBER(AE7:AE48),IF(AE7:AE48&gt;0,IF(AH7:AH48&lt;&gt;"",ROW(AE7:AE48)-MIN(ROW(AE7:AE48))+1))),ROW()-ROW(A$51)+1)),"##0"),"|",SUBSTITUTE(SUBSTITUTE(INDEX(IF(PURCHASE_DESCRIPTION&lt;&gt;"",PURCHASE_DESCRIPTION&amp;":","")&amp;A7:A48,SMALL(IF(ISNUMBER(AE7:AE48),IF(AE7:AE48&gt;0,IF(AH7:AH48&lt;&gt;"",ROW(AE7:AE48)-MIN(ROW(AE7:AE48))+1))),ROW()-ROW(A$51)+1)),"|",";")," ","_")),"")</f>
        <v>0</v>
      </c>
      <c r="AJ51">
        <f t="array" ref="AJ51">IFERROR(CONCATENATE(INDEX(AM7:AM48,SMALL(IF(ISNUMBER(AJ7:AJ48),IF(AJ7:AJ48&gt;0,IF(AM7:AM48&lt;&gt;"",ROW(AJ7:AJ48)-MIN(ROW(AJ7:AJ48))+1))),ROW()-ROW(A$51)+1)),",",TEXT(INDEX(AJ7:AJ48,SMALL(IF(ISNUMBER(AJ7:AJ48),IF(AJ7:AJ48&gt;0,IF(AM7:AM48&lt;&gt;"",ROW(AJ7:AJ48)-MIN(ROW(AJ7:AJ48))+1))),ROW()-ROW(A$51)+1)),"##0"),",",SUBSTITUTE(INDEX(IF(PURCHASE_DESCRIPTION&lt;&gt;"",PURCHASE_DESCRIPTION&amp;":","")&amp;A7:A48,SMALL(IF(ISNUMBER(AJ7:AJ48),IF(AJ7:AJ48&gt;0,IF(AM7:AM48&lt;&gt;"",ROW(AJ7:AJ48)-MIN(ROW(AJ7:AJ48))+1))),ROW()-ROW(A$51)+1)),",",";")),"")</f>
        <v>0</v>
      </c>
      <c r="AO51">
        <f t="array" ref="AO51">IFERROR(CONCATENATE(INDEX(AR7:AR48,SMALL(IF(ISNUMBER(AO7:AO48),IF(AO7:AO48&gt;0,IF(AR7:AR48&lt;&gt;"",ROW(AO7:AO48)-MIN(ROW(AO7:AO48))+1))),ROW()-ROW(A$51)+1))," ",TEXT(INDEX(AO7:AO48,SMALL(IF(ISNUMBER(AO7:AO48),IF(AO7:AO48&gt;0,IF(AR7:AR48&lt;&gt;"",ROW(AO7:AO48)-MIN(ROW(AO7:AO48))+1))),ROW()-ROW(A$51)+1)),"##0")," ",SUBSTITUTE(INDEX(IF(PURCHASE_DESCRIPTION&lt;&gt;"",PURCHASE_DESCRIPTION&amp;":","")&amp;A7:A48,SMALL(IF(ISNUMBER(AO7:AO48),IF(AO7:AO48&gt;0,IF(AR7:AR48&lt;&gt;"",ROW(AO7:AO48)-MIN(ROW(AO7:AO48))+1))),ROW()-ROW(A$51)+1))," ",";")),"")</f>
        <v>0</v>
      </c>
      <c r="AT51">
        <f t="array" ref="AT51">IFERROR(CONCATENATE(INDEX(AW7:AW48,SMALL(IF(ISNUMBER(AT7:AT48),IF(AT7:AT48&gt;0,IF(AW7:AW48&lt;&gt;"",ROW(AT7:AT48)-MIN(ROW(AT7:AT48))+1))),ROW()-ROW(A$51)+1))," ",TEXT(INDEX(AT7:AT48,SMALL(IF(ISNUMBER(AT7:AT48),IF(AT7:AT48&gt;0,IF(AW7:AW48&lt;&gt;"",ROW(AT7:AT48)-MIN(ROW(AT7:AT48))+1))),ROW()-ROW(A$51)+1)),"##0")," ",SUBSTITUTE(INDEX(IF(PURCHASE_DESCRIPTION&lt;&gt;"",PURCHASE_DESCRIPTION&amp;":","")&amp;A7:A48,SMALL(IF(ISNUMBER(AT7:AT48),IF(AT7:AT48&gt;0,IF(AW7:AW48&lt;&gt;"",ROW(AT7:AT48)-MIN(ROW(AT7:AT48))+1))),ROW()-ROW(A$51)+1))," ",";")),"")</f>
        <v>0</v>
      </c>
    </row>
    <row r="52" spans="1:48">
      <c r="K52">
        <f t="array" ref="K52">IFERROR(CONCATENATE(INDEX(N7:N48,SMALL(IF(ISNUMBER(K7:K48),IF(K7:K48&gt;0,IF(N7:N48&lt;&gt;"",ROW(K7:K48)-MIN(ROW(K7:K48))+1))),ROW()-ROW(A$51)+1)),",",TEXT(INDEX(K7:K48,SMALL(IF(ISNUMBER(K7:K48),IF(K7:K48&gt;0,IF(N7:N48&lt;&gt;"",ROW(K7:K48)-MIN(ROW(K7:K48))+1))),ROW()-ROW(A$51)+1)),"##0"),",",SUBSTITUTE(INDEX(IF(PURCHASE_DESCRIPTION&lt;&gt;"",PURCHASE_DESCRIPTION&amp;":","")&amp;A7:A48,SMALL(IF(ISNUMBER(K7:K48),IF(K7:K48&gt;0,IF(N7:N48&lt;&gt;"",ROW(K7:K48)-MIN(ROW(K7:K48))+1))),ROW()-ROW(A$51)+1)),",",";")),"")</f>
        <v>0</v>
      </c>
      <c r="P52">
        <f t="array" ref="P52">IFERROR(CONCATENATE(TEXT(INDEX(P7:P48,SMALL(IF(ISNUMBER(P7:P48),IF(P7:P48&gt;0,IF(S7:S48&lt;&gt;"",ROW(P7:P48)-MIN(ROW(P7:P48))+1))),ROW()-ROW(A$51)+1)),"##0"),",",INDEX(S7:S48,SMALL(IF(ISNUMBER(P7:P48),IF(P7:P48&gt;0,IF(S7:S48&lt;&gt;"",ROW(P7:P48)-MIN(ROW(P7:P48))+1))),ROW()-ROW(A$51)+1)),",",SUBSTITUTE(INDEX(IF(PURCHASE_DESCRIPTION&lt;&gt;"",PURCHASE_DESCRIPTION&amp;":","")&amp;A7:A48,SMALL(IF(ISNUMBER(P7:P48),IF(P7:P48&gt;0,IF(S7:S48&lt;&gt;"",ROW(P7:P48)-MIN(ROW(P7:P48))+1))),ROW()-ROW(A$51)+1)),",",";")),"")</f>
        <v>0</v>
      </c>
      <c r="U52">
        <f t="array" ref="U52">IFERROR(CONCATENATE(INDEX(X7:X48,SMALL(IF(ISNUMBER(U7:U48),IF(U7:U48&gt;0,IF(X7:X48&lt;&gt;"",ROW(U7:U48)-MIN(ROW(U7:U48))+1))),ROW()-ROW(A$51)+1))," ",TEXT(INDEX(U7:U48,SMALL(IF(ISNUMBER(U7:U48),IF(U7:U48&gt;0,IF(X7:X48&lt;&gt;"",ROW(U7:U48)-MIN(ROW(U7:U48))+1))),ROW()-ROW(A$51)+1)),"##0")," ",SUBSTITUTE(INDEX(IF(PURCHASE_DESCRIPTION&lt;&gt;"",PURCHASE_DESCRIPTION&amp;":","")&amp;A7:A48,SMALL(IF(ISNUMBER(U7:U48),IF(U7:U48&gt;0,IF(X7:X48&lt;&gt;"",ROW(U7:U48)-MIN(ROW(U7:U48))+1))),ROW()-ROW(A$51)+1))," ",";")),"")</f>
        <v>0</v>
      </c>
      <c r="Z52">
        <f t="array" ref="Z52">IFERROR(CONCATENATE(TEXT(INDEX(Z7:Z48,SMALL(IF(ISNUMBER(Z7:Z48),IF(Z7:Z48&gt;0,IF(AC7:AC48&lt;&gt;"",ROW(Z7:Z48)-MIN(ROW(Z7:Z48))+1))),ROW()-ROW(A$52)+1)),"##0"),",",SUBSTITUTE(INDEX(IF(PURCHASE_DESCRIPTION&lt;&gt;"",PURCHASE_DESCRIPTION&amp;":","")&amp;A7:A48,SMALL(IF(ISNUMBER(Z7:Z48),IF(Z7:Z48&gt;0,IF(AC7:AC48&lt;&gt;"",ROW(Z7:Z48)-MIN(ROW(Z7:Z48))+1))),ROW()-ROW(A$52)+1)),",",";"),",",SUBSTITUTE(INDEX(IF(PURCHASE_DESCRIPTION&lt;&gt;"",PURCHASE_DESCRIPTION&amp;":","")&amp;D7:D48,SMALL(IF(ISNUMBER(Z7:Z48),IF(Z7:Z48&gt;0,IF(AC7:AC48&lt;&gt;"",ROW(Z7:Z48)-MIN(ROW(Z7:Z48))+1))),ROW()-ROW(A$52)+1)),",",";"),",",INDEX(AC7:AC48,SMALL(IF(ISNUMBER(Z7:Z48),IF(Z7:Z48&gt;0,IF(AC7:AC48&lt;&gt;"",ROW(Z7:Z48)-MIN(ROW(Z7:Z48))+1))),ROW()-ROW(A$52)+1))),"")</f>
        <v>0</v>
      </c>
      <c r="AE52">
        <f t="array" ref="AE52">IFERROR(CONCATENATE(INDEX(AH7:AH48,SMALL(IF(ISNUMBER(AE7:AE48),IF(AE7:AE48&gt;0,IF(AH7:AH48&lt;&gt;"",ROW(AE7:AE48)-MIN(ROW(AE7:AE48))+1))),ROW()-ROW(A$51)+1)),"|",TEXT(INDEX(AE7:AE48,SMALL(IF(ISNUMBER(AE7:AE48),IF(AE7:AE48&gt;0,IF(AH7:AH48&lt;&gt;"",ROW(AE7:AE48)-MIN(ROW(AE7:AE48))+1))),ROW()-ROW(A$51)+1)),"##0"),"|",SUBSTITUTE(SUBSTITUTE(INDEX(IF(PURCHASE_DESCRIPTION&lt;&gt;"",PURCHASE_DESCRIPTION&amp;":","")&amp;A7:A48,SMALL(IF(ISNUMBER(AE7:AE48),IF(AE7:AE48&gt;0,IF(AH7:AH48&lt;&gt;"",ROW(AE7:AE48)-MIN(ROW(AE7:AE48))+1))),ROW()-ROW(A$51)+1)),"|",";")," ","_")),"")</f>
        <v>0</v>
      </c>
      <c r="AJ52">
        <f t="array" ref="AJ52">IFERROR(CONCATENATE(INDEX(AM7:AM48,SMALL(IF(ISNUMBER(AJ7:AJ48),IF(AJ7:AJ48&gt;0,IF(AM7:AM48&lt;&gt;"",ROW(AJ7:AJ48)-MIN(ROW(AJ7:AJ48))+1))),ROW()-ROW(A$51)+1)),",",TEXT(INDEX(AJ7:AJ48,SMALL(IF(ISNUMBER(AJ7:AJ48),IF(AJ7:AJ48&gt;0,IF(AM7:AM48&lt;&gt;"",ROW(AJ7:AJ48)-MIN(ROW(AJ7:AJ48))+1))),ROW()-ROW(A$51)+1)),"##0"),",",SUBSTITUTE(INDEX(IF(PURCHASE_DESCRIPTION&lt;&gt;"",PURCHASE_DESCRIPTION&amp;":","")&amp;A7:A48,SMALL(IF(ISNUMBER(AJ7:AJ48),IF(AJ7:AJ48&gt;0,IF(AM7:AM48&lt;&gt;"",ROW(AJ7:AJ48)-MIN(ROW(AJ7:AJ48))+1))),ROW()-ROW(A$51)+1)),",",";")),"")</f>
        <v>0</v>
      </c>
      <c r="AO52">
        <f t="array" ref="AO52">IFERROR(CONCATENATE(INDEX(AR7:AR48,SMALL(IF(ISNUMBER(AO7:AO48),IF(AO7:AO48&gt;0,IF(AR7:AR48&lt;&gt;"",ROW(AO7:AO48)-MIN(ROW(AO7:AO48))+1))),ROW()-ROW(A$51)+1))," ",TEXT(INDEX(AO7:AO48,SMALL(IF(ISNUMBER(AO7:AO48),IF(AO7:AO48&gt;0,IF(AR7:AR48&lt;&gt;"",ROW(AO7:AO48)-MIN(ROW(AO7:AO48))+1))),ROW()-ROW(A$51)+1)),"##0")," ",SUBSTITUTE(INDEX(IF(PURCHASE_DESCRIPTION&lt;&gt;"",PURCHASE_DESCRIPTION&amp;":","")&amp;A7:A48,SMALL(IF(ISNUMBER(AO7:AO48),IF(AO7:AO48&gt;0,IF(AR7:AR48&lt;&gt;"",ROW(AO7:AO48)-MIN(ROW(AO7:AO48))+1))),ROW()-ROW(A$51)+1))," ",";")),"")</f>
        <v>0</v>
      </c>
      <c r="AT52">
        <f t="array" ref="AT52">IFERROR(CONCATENATE(INDEX(AW7:AW48,SMALL(IF(ISNUMBER(AT7:AT48),IF(AT7:AT48&gt;0,IF(AW7:AW48&lt;&gt;"",ROW(AT7:AT48)-MIN(ROW(AT7:AT48))+1))),ROW()-ROW(A$51)+1))," ",TEXT(INDEX(AT7:AT48,SMALL(IF(ISNUMBER(AT7:AT48),IF(AT7:AT48&gt;0,IF(AW7:AW48&lt;&gt;"",ROW(AT7:AT48)-MIN(ROW(AT7:AT48))+1))),ROW()-ROW(A$51)+1)),"##0")," ",SUBSTITUTE(INDEX(IF(PURCHASE_DESCRIPTION&lt;&gt;"",PURCHASE_DESCRIPTION&amp;":","")&amp;A7:A48,SMALL(IF(ISNUMBER(AT7:AT48),IF(AT7:AT48&gt;0,IF(AW7:AW48&lt;&gt;"",ROW(AT7:AT48)-MIN(ROW(AT7:AT48))+1))),ROW()-ROW(A$51)+1))," ",";")),"")</f>
        <v>0</v>
      </c>
    </row>
    <row r="53" spans="1:48">
      <c r="A53" s="2" t="s">
        <v>312</v>
      </c>
      <c r="K53">
        <f t="array" ref="K53">IFERROR(CONCATENATE(INDEX(N7:N48,SMALL(IF(ISNUMBER(K7:K48),IF(K7:K48&gt;0,IF(N7:N48&lt;&gt;"",ROW(K7:K48)-MIN(ROW(K7:K48))+1))),ROW()-ROW(A$51)+1)),",",TEXT(INDEX(K7:K48,SMALL(IF(ISNUMBER(K7:K48),IF(K7:K48&gt;0,IF(N7:N48&lt;&gt;"",ROW(K7:K48)-MIN(ROW(K7:K48))+1))),ROW()-ROW(A$51)+1)),"##0"),",",SUBSTITUTE(INDEX(IF(PURCHASE_DESCRIPTION&lt;&gt;"",PURCHASE_DESCRIPTION&amp;":","")&amp;A7:A48,SMALL(IF(ISNUMBER(K7:K48),IF(K7:K48&gt;0,IF(N7:N48&lt;&gt;"",ROW(K7:K48)-MIN(ROW(K7:K48))+1))),ROW()-ROW(A$51)+1)),",",";")),"")</f>
        <v>0</v>
      </c>
      <c r="P53">
        <f t="array" ref="P53">IFERROR(CONCATENATE(TEXT(INDEX(P7:P48,SMALL(IF(ISNUMBER(P7:P48),IF(P7:P48&gt;0,IF(S7:S48&lt;&gt;"",ROW(P7:P48)-MIN(ROW(P7:P48))+1))),ROW()-ROW(A$51)+1)),"##0"),",",INDEX(S7:S48,SMALL(IF(ISNUMBER(P7:P48),IF(P7:P48&gt;0,IF(S7:S48&lt;&gt;"",ROW(P7:P48)-MIN(ROW(P7:P48))+1))),ROW()-ROW(A$51)+1)),",",SUBSTITUTE(INDEX(IF(PURCHASE_DESCRIPTION&lt;&gt;"",PURCHASE_DESCRIPTION&amp;":","")&amp;A7:A48,SMALL(IF(ISNUMBER(P7:P48),IF(P7:P48&gt;0,IF(S7:S48&lt;&gt;"",ROW(P7:P48)-MIN(ROW(P7:P48))+1))),ROW()-ROW(A$51)+1)),",",";")),"")</f>
        <v>0</v>
      </c>
      <c r="U53">
        <f t="array" ref="U53">IFERROR(CONCATENATE(INDEX(X7:X48,SMALL(IF(ISNUMBER(U7:U48),IF(U7:U48&gt;0,IF(X7:X48&lt;&gt;"",ROW(U7:U48)-MIN(ROW(U7:U48))+1))),ROW()-ROW(A$51)+1))," ",TEXT(INDEX(U7:U48,SMALL(IF(ISNUMBER(U7:U48),IF(U7:U48&gt;0,IF(X7:X48&lt;&gt;"",ROW(U7:U48)-MIN(ROW(U7:U48))+1))),ROW()-ROW(A$51)+1)),"##0")," ",SUBSTITUTE(INDEX(IF(PURCHASE_DESCRIPTION&lt;&gt;"",PURCHASE_DESCRIPTION&amp;":","")&amp;A7:A48,SMALL(IF(ISNUMBER(U7:U48),IF(U7:U48&gt;0,IF(X7:X48&lt;&gt;"",ROW(U7:U48)-MIN(ROW(U7:U48))+1))),ROW()-ROW(A$51)+1))," ",";")),"")</f>
        <v>0</v>
      </c>
      <c r="Z53">
        <f t="array" ref="Z53">IFERROR(CONCATENATE(TEXT(INDEX(Z7:Z48,SMALL(IF(ISNUMBER(Z7:Z48),IF(Z7:Z48&gt;0,IF(AC7:AC48&lt;&gt;"",ROW(Z7:Z48)-MIN(ROW(Z7:Z48))+1))),ROW()-ROW(A$52)+1)),"##0"),",",SUBSTITUTE(INDEX(IF(PURCHASE_DESCRIPTION&lt;&gt;"",PURCHASE_DESCRIPTION&amp;":","")&amp;A7:A48,SMALL(IF(ISNUMBER(Z7:Z48),IF(Z7:Z48&gt;0,IF(AC7:AC48&lt;&gt;"",ROW(Z7:Z48)-MIN(ROW(Z7:Z48))+1))),ROW()-ROW(A$52)+1)),",",";"),",",SUBSTITUTE(INDEX(IF(PURCHASE_DESCRIPTION&lt;&gt;"",PURCHASE_DESCRIPTION&amp;":","")&amp;D7:D48,SMALL(IF(ISNUMBER(Z7:Z48),IF(Z7:Z48&gt;0,IF(AC7:AC48&lt;&gt;"",ROW(Z7:Z48)-MIN(ROW(Z7:Z48))+1))),ROW()-ROW(A$52)+1)),",",";"),",",INDEX(AC7:AC48,SMALL(IF(ISNUMBER(Z7:Z48),IF(Z7:Z48&gt;0,IF(AC7:AC48&lt;&gt;"",ROW(Z7:Z48)-MIN(ROW(Z7:Z48))+1))),ROW()-ROW(A$52)+1))),"")</f>
        <v>0</v>
      </c>
      <c r="AE53">
        <f t="array" ref="AE53">IFERROR(CONCATENATE(INDEX(AH7:AH48,SMALL(IF(ISNUMBER(AE7:AE48),IF(AE7:AE48&gt;0,IF(AH7:AH48&lt;&gt;"",ROW(AE7:AE48)-MIN(ROW(AE7:AE48))+1))),ROW()-ROW(A$51)+1)),"|",TEXT(INDEX(AE7:AE48,SMALL(IF(ISNUMBER(AE7:AE48),IF(AE7:AE48&gt;0,IF(AH7:AH48&lt;&gt;"",ROW(AE7:AE48)-MIN(ROW(AE7:AE48))+1))),ROW()-ROW(A$51)+1)),"##0"),"|",SUBSTITUTE(SUBSTITUTE(INDEX(IF(PURCHASE_DESCRIPTION&lt;&gt;"",PURCHASE_DESCRIPTION&amp;":","")&amp;A7:A48,SMALL(IF(ISNUMBER(AE7:AE48),IF(AE7:AE48&gt;0,IF(AH7:AH48&lt;&gt;"",ROW(AE7:AE48)-MIN(ROW(AE7:AE48))+1))),ROW()-ROW(A$51)+1)),"|",";")," ","_")),"")</f>
        <v>0</v>
      </c>
      <c r="AJ53">
        <f t="array" ref="AJ53">IFERROR(CONCATENATE(INDEX(AM7:AM48,SMALL(IF(ISNUMBER(AJ7:AJ48),IF(AJ7:AJ48&gt;0,IF(AM7:AM48&lt;&gt;"",ROW(AJ7:AJ48)-MIN(ROW(AJ7:AJ48))+1))),ROW()-ROW(A$51)+1)),",",TEXT(INDEX(AJ7:AJ48,SMALL(IF(ISNUMBER(AJ7:AJ48),IF(AJ7:AJ48&gt;0,IF(AM7:AM48&lt;&gt;"",ROW(AJ7:AJ48)-MIN(ROW(AJ7:AJ48))+1))),ROW()-ROW(A$51)+1)),"##0"),",",SUBSTITUTE(INDEX(IF(PURCHASE_DESCRIPTION&lt;&gt;"",PURCHASE_DESCRIPTION&amp;":","")&amp;A7:A48,SMALL(IF(ISNUMBER(AJ7:AJ48),IF(AJ7:AJ48&gt;0,IF(AM7:AM48&lt;&gt;"",ROW(AJ7:AJ48)-MIN(ROW(AJ7:AJ48))+1))),ROW()-ROW(A$51)+1)),",",";")),"")</f>
        <v>0</v>
      </c>
      <c r="AO53">
        <f t="array" ref="AO53">IFERROR(CONCATENATE(INDEX(AR7:AR48,SMALL(IF(ISNUMBER(AO7:AO48),IF(AO7:AO48&gt;0,IF(AR7:AR48&lt;&gt;"",ROW(AO7:AO48)-MIN(ROW(AO7:AO48))+1))),ROW()-ROW(A$51)+1))," ",TEXT(INDEX(AO7:AO48,SMALL(IF(ISNUMBER(AO7:AO48),IF(AO7:AO48&gt;0,IF(AR7:AR48&lt;&gt;"",ROW(AO7:AO48)-MIN(ROW(AO7:AO48))+1))),ROW()-ROW(A$51)+1)),"##0")," ",SUBSTITUTE(INDEX(IF(PURCHASE_DESCRIPTION&lt;&gt;"",PURCHASE_DESCRIPTION&amp;":","")&amp;A7:A48,SMALL(IF(ISNUMBER(AO7:AO48),IF(AO7:AO48&gt;0,IF(AR7:AR48&lt;&gt;"",ROW(AO7:AO48)-MIN(ROW(AO7:AO48))+1))),ROW()-ROW(A$51)+1))," ",";")),"")</f>
        <v>0</v>
      </c>
      <c r="AT53">
        <f t="array" ref="AT53">IFERROR(CONCATENATE(INDEX(AW7:AW48,SMALL(IF(ISNUMBER(AT7:AT48),IF(AT7:AT48&gt;0,IF(AW7:AW48&lt;&gt;"",ROW(AT7:AT48)-MIN(ROW(AT7:AT48))+1))),ROW()-ROW(A$51)+1))," ",TEXT(INDEX(AT7:AT48,SMALL(IF(ISNUMBER(AT7:AT48),IF(AT7:AT48&gt;0,IF(AW7:AW48&lt;&gt;"",ROW(AT7:AT48)-MIN(ROW(AT7:AT48))+1))),ROW()-ROW(A$51)+1)),"##0")," ",SUBSTITUTE(INDEX(IF(PURCHASE_DESCRIPTION&lt;&gt;"",PURCHASE_DESCRIPTION&amp;":","")&amp;A7:A48,SMALL(IF(ISNUMBER(AT7:AT48),IF(AT7:AT48&gt;0,IF(AW7:AW48&lt;&gt;"",ROW(AT7:AT48)-MIN(ROW(AT7:AT48))+1))),ROW()-ROW(A$51)+1))," ",";")),"")</f>
        <v>0</v>
      </c>
    </row>
    <row r="54" spans="1:48">
      <c r="K54">
        <f t="array" ref="K54">IFERROR(CONCATENATE(INDEX(N7:N48,SMALL(IF(ISNUMBER(K7:K48),IF(K7:K48&gt;0,IF(N7:N48&lt;&gt;"",ROW(K7:K48)-MIN(ROW(K7:K48))+1))),ROW()-ROW(A$51)+1)),",",TEXT(INDEX(K7:K48,SMALL(IF(ISNUMBER(K7:K48),IF(K7:K48&gt;0,IF(N7:N48&lt;&gt;"",ROW(K7:K48)-MIN(ROW(K7:K48))+1))),ROW()-ROW(A$51)+1)),"##0"),",",SUBSTITUTE(INDEX(IF(PURCHASE_DESCRIPTION&lt;&gt;"",PURCHASE_DESCRIPTION&amp;":","")&amp;A7:A48,SMALL(IF(ISNUMBER(K7:K48),IF(K7:K48&gt;0,IF(N7:N48&lt;&gt;"",ROW(K7:K48)-MIN(ROW(K7:K48))+1))),ROW()-ROW(A$51)+1)),",",";")),"")</f>
        <v>0</v>
      </c>
      <c r="P54">
        <f t="array" ref="P54">IFERROR(CONCATENATE(TEXT(INDEX(P7:P48,SMALL(IF(ISNUMBER(P7:P48),IF(P7:P48&gt;0,IF(S7:S48&lt;&gt;"",ROW(P7:P48)-MIN(ROW(P7:P48))+1))),ROW()-ROW(A$51)+1)),"##0"),",",INDEX(S7:S48,SMALL(IF(ISNUMBER(P7:P48),IF(P7:P48&gt;0,IF(S7:S48&lt;&gt;"",ROW(P7:P48)-MIN(ROW(P7:P48))+1))),ROW()-ROW(A$51)+1)),",",SUBSTITUTE(INDEX(IF(PURCHASE_DESCRIPTION&lt;&gt;"",PURCHASE_DESCRIPTION&amp;":","")&amp;A7:A48,SMALL(IF(ISNUMBER(P7:P48),IF(P7:P48&gt;0,IF(S7:S48&lt;&gt;"",ROW(P7:P48)-MIN(ROW(P7:P48))+1))),ROW()-ROW(A$51)+1)),",",";")),"")</f>
        <v>0</v>
      </c>
      <c r="U54">
        <f t="array" ref="U54">IFERROR(CONCATENATE(INDEX(X7:X48,SMALL(IF(ISNUMBER(U7:U48),IF(U7:U48&gt;0,IF(X7:X48&lt;&gt;"",ROW(U7:U48)-MIN(ROW(U7:U48))+1))),ROW()-ROW(A$51)+1))," ",TEXT(INDEX(U7:U48,SMALL(IF(ISNUMBER(U7:U48),IF(U7:U48&gt;0,IF(X7:X48&lt;&gt;"",ROW(U7:U48)-MIN(ROW(U7:U48))+1))),ROW()-ROW(A$51)+1)),"##0")," ",SUBSTITUTE(INDEX(IF(PURCHASE_DESCRIPTION&lt;&gt;"",PURCHASE_DESCRIPTION&amp;":","")&amp;A7:A48,SMALL(IF(ISNUMBER(U7:U48),IF(U7:U48&gt;0,IF(X7:X48&lt;&gt;"",ROW(U7:U48)-MIN(ROW(U7:U48))+1))),ROW()-ROW(A$51)+1))," ",";")),"")</f>
        <v>0</v>
      </c>
      <c r="Z54">
        <f t="array" ref="Z54">IFERROR(CONCATENATE(TEXT(INDEX(Z7:Z48,SMALL(IF(ISNUMBER(Z7:Z48),IF(Z7:Z48&gt;0,IF(AC7:AC48&lt;&gt;"",ROW(Z7:Z48)-MIN(ROW(Z7:Z48))+1))),ROW()-ROW(A$52)+1)),"##0"),",",SUBSTITUTE(INDEX(IF(PURCHASE_DESCRIPTION&lt;&gt;"",PURCHASE_DESCRIPTION&amp;":","")&amp;A7:A48,SMALL(IF(ISNUMBER(Z7:Z48),IF(Z7:Z48&gt;0,IF(AC7:AC48&lt;&gt;"",ROW(Z7:Z48)-MIN(ROW(Z7:Z48))+1))),ROW()-ROW(A$52)+1)),",",";"),",",SUBSTITUTE(INDEX(IF(PURCHASE_DESCRIPTION&lt;&gt;"",PURCHASE_DESCRIPTION&amp;":","")&amp;D7:D48,SMALL(IF(ISNUMBER(Z7:Z48),IF(Z7:Z48&gt;0,IF(AC7:AC48&lt;&gt;"",ROW(Z7:Z48)-MIN(ROW(Z7:Z48))+1))),ROW()-ROW(A$52)+1)),",",";"),",",INDEX(AC7:AC48,SMALL(IF(ISNUMBER(Z7:Z48),IF(Z7:Z48&gt;0,IF(AC7:AC48&lt;&gt;"",ROW(Z7:Z48)-MIN(ROW(Z7:Z48))+1))),ROW()-ROW(A$52)+1))),"")</f>
        <v>0</v>
      </c>
      <c r="AE54">
        <f t="array" ref="AE54">IFERROR(CONCATENATE(INDEX(AH7:AH48,SMALL(IF(ISNUMBER(AE7:AE48),IF(AE7:AE48&gt;0,IF(AH7:AH48&lt;&gt;"",ROW(AE7:AE48)-MIN(ROW(AE7:AE48))+1))),ROW()-ROW(A$51)+1)),"|",TEXT(INDEX(AE7:AE48,SMALL(IF(ISNUMBER(AE7:AE48),IF(AE7:AE48&gt;0,IF(AH7:AH48&lt;&gt;"",ROW(AE7:AE48)-MIN(ROW(AE7:AE48))+1))),ROW()-ROW(A$51)+1)),"##0"),"|",SUBSTITUTE(SUBSTITUTE(INDEX(IF(PURCHASE_DESCRIPTION&lt;&gt;"",PURCHASE_DESCRIPTION&amp;":","")&amp;A7:A48,SMALL(IF(ISNUMBER(AE7:AE48),IF(AE7:AE48&gt;0,IF(AH7:AH48&lt;&gt;"",ROW(AE7:AE48)-MIN(ROW(AE7:AE48))+1))),ROW()-ROW(A$51)+1)),"|",";")," ","_")),"")</f>
        <v>0</v>
      </c>
      <c r="AJ54">
        <f t="array" ref="AJ54">IFERROR(CONCATENATE(INDEX(AM7:AM48,SMALL(IF(ISNUMBER(AJ7:AJ48),IF(AJ7:AJ48&gt;0,IF(AM7:AM48&lt;&gt;"",ROW(AJ7:AJ48)-MIN(ROW(AJ7:AJ48))+1))),ROW()-ROW(A$51)+1)),",",TEXT(INDEX(AJ7:AJ48,SMALL(IF(ISNUMBER(AJ7:AJ48),IF(AJ7:AJ48&gt;0,IF(AM7:AM48&lt;&gt;"",ROW(AJ7:AJ48)-MIN(ROW(AJ7:AJ48))+1))),ROW()-ROW(A$51)+1)),"##0"),",",SUBSTITUTE(INDEX(IF(PURCHASE_DESCRIPTION&lt;&gt;"",PURCHASE_DESCRIPTION&amp;":","")&amp;A7:A48,SMALL(IF(ISNUMBER(AJ7:AJ48),IF(AJ7:AJ48&gt;0,IF(AM7:AM48&lt;&gt;"",ROW(AJ7:AJ48)-MIN(ROW(AJ7:AJ48))+1))),ROW()-ROW(A$51)+1)),",",";")),"")</f>
        <v>0</v>
      </c>
      <c r="AO54">
        <f t="array" ref="AO54">IFERROR(CONCATENATE(INDEX(AR7:AR48,SMALL(IF(ISNUMBER(AO7:AO48),IF(AO7:AO48&gt;0,IF(AR7:AR48&lt;&gt;"",ROW(AO7:AO48)-MIN(ROW(AO7:AO48))+1))),ROW()-ROW(A$51)+1))," ",TEXT(INDEX(AO7:AO48,SMALL(IF(ISNUMBER(AO7:AO48),IF(AO7:AO48&gt;0,IF(AR7:AR48&lt;&gt;"",ROW(AO7:AO48)-MIN(ROW(AO7:AO48))+1))),ROW()-ROW(A$51)+1)),"##0")," ",SUBSTITUTE(INDEX(IF(PURCHASE_DESCRIPTION&lt;&gt;"",PURCHASE_DESCRIPTION&amp;":","")&amp;A7:A48,SMALL(IF(ISNUMBER(AO7:AO48),IF(AO7:AO48&gt;0,IF(AR7:AR48&lt;&gt;"",ROW(AO7:AO48)-MIN(ROW(AO7:AO48))+1))),ROW()-ROW(A$51)+1))," ",";")),"")</f>
        <v>0</v>
      </c>
      <c r="AT54">
        <f t="array" ref="AT54">IFERROR(CONCATENATE(INDEX(AW7:AW48,SMALL(IF(ISNUMBER(AT7:AT48),IF(AT7:AT48&gt;0,IF(AW7:AW48&lt;&gt;"",ROW(AT7:AT48)-MIN(ROW(AT7:AT48))+1))),ROW()-ROW(A$51)+1))," ",TEXT(INDEX(AT7:AT48,SMALL(IF(ISNUMBER(AT7:AT48),IF(AT7:AT48&gt;0,IF(AW7:AW48&lt;&gt;"",ROW(AT7:AT48)-MIN(ROW(AT7:AT48))+1))),ROW()-ROW(A$51)+1)),"##0")," ",SUBSTITUTE(INDEX(IF(PURCHASE_DESCRIPTION&lt;&gt;"",PURCHASE_DESCRIPTION&amp;":","")&amp;A7:A48,SMALL(IF(ISNUMBER(AT7:AT48),IF(AT7:AT48&gt;0,IF(AW7:AW48&lt;&gt;"",ROW(AT7:AT48)-MIN(ROW(AT7:AT48))+1))),ROW()-ROW(A$51)+1))," ",";")),"")</f>
        <v>0</v>
      </c>
    </row>
    <row r="55" spans="1:48">
      <c r="K55">
        <f t="array" ref="K55">IFERROR(CONCATENATE(INDEX(N7:N48,SMALL(IF(ISNUMBER(K7:K48),IF(K7:K48&gt;0,IF(N7:N48&lt;&gt;"",ROW(K7:K48)-MIN(ROW(K7:K48))+1))),ROW()-ROW(A$51)+1)),",",TEXT(INDEX(K7:K48,SMALL(IF(ISNUMBER(K7:K48),IF(K7:K48&gt;0,IF(N7:N48&lt;&gt;"",ROW(K7:K48)-MIN(ROW(K7:K48))+1))),ROW()-ROW(A$51)+1)),"##0"),",",SUBSTITUTE(INDEX(IF(PURCHASE_DESCRIPTION&lt;&gt;"",PURCHASE_DESCRIPTION&amp;":","")&amp;A7:A48,SMALL(IF(ISNUMBER(K7:K48),IF(K7:K48&gt;0,IF(N7:N48&lt;&gt;"",ROW(K7:K48)-MIN(ROW(K7:K48))+1))),ROW()-ROW(A$51)+1)),",",";")),"")</f>
        <v>0</v>
      </c>
      <c r="P55">
        <f t="array" ref="P55">IFERROR(CONCATENATE(TEXT(INDEX(P7:P48,SMALL(IF(ISNUMBER(P7:P48),IF(P7:P48&gt;0,IF(S7:S48&lt;&gt;"",ROW(P7:P48)-MIN(ROW(P7:P48))+1))),ROW()-ROW(A$51)+1)),"##0"),",",INDEX(S7:S48,SMALL(IF(ISNUMBER(P7:P48),IF(P7:P48&gt;0,IF(S7:S48&lt;&gt;"",ROW(P7:P48)-MIN(ROW(P7:P48))+1))),ROW()-ROW(A$51)+1)),",",SUBSTITUTE(INDEX(IF(PURCHASE_DESCRIPTION&lt;&gt;"",PURCHASE_DESCRIPTION&amp;":","")&amp;A7:A48,SMALL(IF(ISNUMBER(P7:P48),IF(P7:P48&gt;0,IF(S7:S48&lt;&gt;"",ROW(P7:P48)-MIN(ROW(P7:P48))+1))),ROW()-ROW(A$51)+1)),",",";")),"")</f>
        <v>0</v>
      </c>
      <c r="U55">
        <f t="array" ref="U55">IFERROR(CONCATENATE(INDEX(X7:X48,SMALL(IF(ISNUMBER(U7:U48),IF(U7:U48&gt;0,IF(X7:X48&lt;&gt;"",ROW(U7:U48)-MIN(ROW(U7:U48))+1))),ROW()-ROW(A$51)+1))," ",TEXT(INDEX(U7:U48,SMALL(IF(ISNUMBER(U7:U48),IF(U7:U48&gt;0,IF(X7:X48&lt;&gt;"",ROW(U7:U48)-MIN(ROW(U7:U48))+1))),ROW()-ROW(A$51)+1)),"##0")," ",SUBSTITUTE(INDEX(IF(PURCHASE_DESCRIPTION&lt;&gt;"",PURCHASE_DESCRIPTION&amp;":","")&amp;A7:A48,SMALL(IF(ISNUMBER(U7:U48),IF(U7:U48&gt;0,IF(X7:X48&lt;&gt;"",ROW(U7:U48)-MIN(ROW(U7:U48))+1))),ROW()-ROW(A$51)+1))," ",";")),"")</f>
        <v>0</v>
      </c>
      <c r="Z55">
        <f t="array" ref="Z55">IFERROR(CONCATENATE(TEXT(INDEX(Z7:Z48,SMALL(IF(ISNUMBER(Z7:Z48),IF(Z7:Z48&gt;0,IF(AC7:AC48&lt;&gt;"",ROW(Z7:Z48)-MIN(ROW(Z7:Z48))+1))),ROW()-ROW(A$52)+1)),"##0"),",",SUBSTITUTE(INDEX(IF(PURCHASE_DESCRIPTION&lt;&gt;"",PURCHASE_DESCRIPTION&amp;":","")&amp;A7:A48,SMALL(IF(ISNUMBER(Z7:Z48),IF(Z7:Z48&gt;0,IF(AC7:AC48&lt;&gt;"",ROW(Z7:Z48)-MIN(ROW(Z7:Z48))+1))),ROW()-ROW(A$52)+1)),",",";"),",",SUBSTITUTE(INDEX(IF(PURCHASE_DESCRIPTION&lt;&gt;"",PURCHASE_DESCRIPTION&amp;":","")&amp;D7:D48,SMALL(IF(ISNUMBER(Z7:Z48),IF(Z7:Z48&gt;0,IF(AC7:AC48&lt;&gt;"",ROW(Z7:Z48)-MIN(ROW(Z7:Z48))+1))),ROW()-ROW(A$52)+1)),",",";"),",",INDEX(AC7:AC48,SMALL(IF(ISNUMBER(Z7:Z48),IF(Z7:Z48&gt;0,IF(AC7:AC48&lt;&gt;"",ROW(Z7:Z48)-MIN(ROW(Z7:Z48))+1))),ROW()-ROW(A$52)+1))),"")</f>
        <v>0</v>
      </c>
      <c r="AE55">
        <f t="array" ref="AE55">IFERROR(CONCATENATE(INDEX(AH7:AH48,SMALL(IF(ISNUMBER(AE7:AE48),IF(AE7:AE48&gt;0,IF(AH7:AH48&lt;&gt;"",ROW(AE7:AE48)-MIN(ROW(AE7:AE48))+1))),ROW()-ROW(A$51)+1)),"|",TEXT(INDEX(AE7:AE48,SMALL(IF(ISNUMBER(AE7:AE48),IF(AE7:AE48&gt;0,IF(AH7:AH48&lt;&gt;"",ROW(AE7:AE48)-MIN(ROW(AE7:AE48))+1))),ROW()-ROW(A$51)+1)),"##0"),"|",SUBSTITUTE(SUBSTITUTE(INDEX(IF(PURCHASE_DESCRIPTION&lt;&gt;"",PURCHASE_DESCRIPTION&amp;":","")&amp;A7:A48,SMALL(IF(ISNUMBER(AE7:AE48),IF(AE7:AE48&gt;0,IF(AH7:AH48&lt;&gt;"",ROW(AE7:AE48)-MIN(ROW(AE7:AE48))+1))),ROW()-ROW(A$51)+1)),"|",";")," ","_")),"")</f>
        <v>0</v>
      </c>
      <c r="AJ55">
        <f t="array" ref="AJ55">IFERROR(CONCATENATE(INDEX(AM7:AM48,SMALL(IF(ISNUMBER(AJ7:AJ48),IF(AJ7:AJ48&gt;0,IF(AM7:AM48&lt;&gt;"",ROW(AJ7:AJ48)-MIN(ROW(AJ7:AJ48))+1))),ROW()-ROW(A$51)+1)),",",TEXT(INDEX(AJ7:AJ48,SMALL(IF(ISNUMBER(AJ7:AJ48),IF(AJ7:AJ48&gt;0,IF(AM7:AM48&lt;&gt;"",ROW(AJ7:AJ48)-MIN(ROW(AJ7:AJ48))+1))),ROW()-ROW(A$51)+1)),"##0"),",",SUBSTITUTE(INDEX(IF(PURCHASE_DESCRIPTION&lt;&gt;"",PURCHASE_DESCRIPTION&amp;":","")&amp;A7:A48,SMALL(IF(ISNUMBER(AJ7:AJ48),IF(AJ7:AJ48&gt;0,IF(AM7:AM48&lt;&gt;"",ROW(AJ7:AJ48)-MIN(ROW(AJ7:AJ48))+1))),ROW()-ROW(A$51)+1)),",",";")),"")</f>
        <v>0</v>
      </c>
      <c r="AO55">
        <f t="array" ref="AO55">IFERROR(CONCATENATE(INDEX(AR7:AR48,SMALL(IF(ISNUMBER(AO7:AO48),IF(AO7:AO48&gt;0,IF(AR7:AR48&lt;&gt;"",ROW(AO7:AO48)-MIN(ROW(AO7:AO48))+1))),ROW()-ROW(A$51)+1))," ",TEXT(INDEX(AO7:AO48,SMALL(IF(ISNUMBER(AO7:AO48),IF(AO7:AO48&gt;0,IF(AR7:AR48&lt;&gt;"",ROW(AO7:AO48)-MIN(ROW(AO7:AO48))+1))),ROW()-ROW(A$51)+1)),"##0")," ",SUBSTITUTE(INDEX(IF(PURCHASE_DESCRIPTION&lt;&gt;"",PURCHASE_DESCRIPTION&amp;":","")&amp;A7:A48,SMALL(IF(ISNUMBER(AO7:AO48),IF(AO7:AO48&gt;0,IF(AR7:AR48&lt;&gt;"",ROW(AO7:AO48)-MIN(ROW(AO7:AO48))+1))),ROW()-ROW(A$51)+1))," ",";")),"")</f>
        <v>0</v>
      </c>
      <c r="AT55">
        <f t="array" ref="AT55">IFERROR(CONCATENATE(INDEX(AW7:AW48,SMALL(IF(ISNUMBER(AT7:AT48),IF(AT7:AT48&gt;0,IF(AW7:AW48&lt;&gt;"",ROW(AT7:AT48)-MIN(ROW(AT7:AT48))+1))),ROW()-ROW(A$51)+1))," ",TEXT(INDEX(AT7:AT48,SMALL(IF(ISNUMBER(AT7:AT48),IF(AT7:AT48&gt;0,IF(AW7:AW48&lt;&gt;"",ROW(AT7:AT48)-MIN(ROW(AT7:AT48))+1))),ROW()-ROW(A$51)+1)),"##0")," ",SUBSTITUTE(INDEX(IF(PURCHASE_DESCRIPTION&lt;&gt;"",PURCHASE_DESCRIPTION&amp;":","")&amp;A7:A48,SMALL(IF(ISNUMBER(AT7:AT48),IF(AT7:AT48&gt;0,IF(AW7:AW48&lt;&gt;"",ROW(AT7:AT48)-MIN(ROW(AT7:AT48))+1))),ROW()-ROW(A$51)+1))," ",";")),"")</f>
        <v>0</v>
      </c>
    </row>
    <row r="56" spans="1:48">
      <c r="K56">
        <f t="array" ref="K56">IFERROR(CONCATENATE(INDEX(N7:N48,SMALL(IF(ISNUMBER(K7:K48),IF(K7:K48&gt;0,IF(N7:N48&lt;&gt;"",ROW(K7:K48)-MIN(ROW(K7:K48))+1))),ROW()-ROW(A$51)+1)),",",TEXT(INDEX(K7:K48,SMALL(IF(ISNUMBER(K7:K48),IF(K7:K48&gt;0,IF(N7:N48&lt;&gt;"",ROW(K7:K48)-MIN(ROW(K7:K48))+1))),ROW()-ROW(A$51)+1)),"##0"),",",SUBSTITUTE(INDEX(IF(PURCHASE_DESCRIPTION&lt;&gt;"",PURCHASE_DESCRIPTION&amp;":","")&amp;A7:A48,SMALL(IF(ISNUMBER(K7:K48),IF(K7:K48&gt;0,IF(N7:N48&lt;&gt;"",ROW(K7:K48)-MIN(ROW(K7:K48))+1))),ROW()-ROW(A$51)+1)),",",";")),"")</f>
        <v>0</v>
      </c>
      <c r="P56">
        <f t="array" ref="P56">IFERROR(CONCATENATE(TEXT(INDEX(P7:P48,SMALL(IF(ISNUMBER(P7:P48),IF(P7:P48&gt;0,IF(S7:S48&lt;&gt;"",ROW(P7:P48)-MIN(ROW(P7:P48))+1))),ROW()-ROW(A$51)+1)),"##0"),",",INDEX(S7:S48,SMALL(IF(ISNUMBER(P7:P48),IF(P7:P48&gt;0,IF(S7:S48&lt;&gt;"",ROW(P7:P48)-MIN(ROW(P7:P48))+1))),ROW()-ROW(A$51)+1)),",",SUBSTITUTE(INDEX(IF(PURCHASE_DESCRIPTION&lt;&gt;"",PURCHASE_DESCRIPTION&amp;":","")&amp;A7:A48,SMALL(IF(ISNUMBER(P7:P48),IF(P7:P48&gt;0,IF(S7:S48&lt;&gt;"",ROW(P7:P48)-MIN(ROW(P7:P48))+1))),ROW()-ROW(A$51)+1)),",",";")),"")</f>
        <v>0</v>
      </c>
      <c r="U56">
        <f t="array" ref="U56">IFERROR(CONCATENATE(INDEX(X7:X48,SMALL(IF(ISNUMBER(U7:U48),IF(U7:U48&gt;0,IF(X7:X48&lt;&gt;"",ROW(U7:U48)-MIN(ROW(U7:U48))+1))),ROW()-ROW(A$51)+1))," ",TEXT(INDEX(U7:U48,SMALL(IF(ISNUMBER(U7:U48),IF(U7:U48&gt;0,IF(X7:X48&lt;&gt;"",ROW(U7:U48)-MIN(ROW(U7:U48))+1))),ROW()-ROW(A$51)+1)),"##0")," ",SUBSTITUTE(INDEX(IF(PURCHASE_DESCRIPTION&lt;&gt;"",PURCHASE_DESCRIPTION&amp;":","")&amp;A7:A48,SMALL(IF(ISNUMBER(U7:U48),IF(U7:U48&gt;0,IF(X7:X48&lt;&gt;"",ROW(U7:U48)-MIN(ROW(U7:U48))+1))),ROW()-ROW(A$51)+1))," ",";")),"")</f>
        <v>0</v>
      </c>
      <c r="Z56">
        <f t="array" ref="Z56">IFERROR(CONCATENATE(TEXT(INDEX(Z7:Z48,SMALL(IF(ISNUMBER(Z7:Z48),IF(Z7:Z48&gt;0,IF(AC7:AC48&lt;&gt;"",ROW(Z7:Z48)-MIN(ROW(Z7:Z48))+1))),ROW()-ROW(A$52)+1)),"##0"),",",SUBSTITUTE(INDEX(IF(PURCHASE_DESCRIPTION&lt;&gt;"",PURCHASE_DESCRIPTION&amp;":","")&amp;A7:A48,SMALL(IF(ISNUMBER(Z7:Z48),IF(Z7:Z48&gt;0,IF(AC7:AC48&lt;&gt;"",ROW(Z7:Z48)-MIN(ROW(Z7:Z48))+1))),ROW()-ROW(A$52)+1)),",",";"),",",SUBSTITUTE(INDEX(IF(PURCHASE_DESCRIPTION&lt;&gt;"",PURCHASE_DESCRIPTION&amp;":","")&amp;D7:D48,SMALL(IF(ISNUMBER(Z7:Z48),IF(Z7:Z48&gt;0,IF(AC7:AC48&lt;&gt;"",ROW(Z7:Z48)-MIN(ROW(Z7:Z48))+1))),ROW()-ROW(A$52)+1)),",",";"),",",INDEX(AC7:AC48,SMALL(IF(ISNUMBER(Z7:Z48),IF(Z7:Z48&gt;0,IF(AC7:AC48&lt;&gt;"",ROW(Z7:Z48)-MIN(ROW(Z7:Z48))+1))),ROW()-ROW(A$52)+1))),"")</f>
        <v>0</v>
      </c>
      <c r="AE56">
        <f t="array" ref="AE56">IFERROR(CONCATENATE(INDEX(AH7:AH48,SMALL(IF(ISNUMBER(AE7:AE48),IF(AE7:AE48&gt;0,IF(AH7:AH48&lt;&gt;"",ROW(AE7:AE48)-MIN(ROW(AE7:AE48))+1))),ROW()-ROW(A$51)+1)),"|",TEXT(INDEX(AE7:AE48,SMALL(IF(ISNUMBER(AE7:AE48),IF(AE7:AE48&gt;0,IF(AH7:AH48&lt;&gt;"",ROW(AE7:AE48)-MIN(ROW(AE7:AE48))+1))),ROW()-ROW(A$51)+1)),"##0"),"|",SUBSTITUTE(SUBSTITUTE(INDEX(IF(PURCHASE_DESCRIPTION&lt;&gt;"",PURCHASE_DESCRIPTION&amp;":","")&amp;A7:A48,SMALL(IF(ISNUMBER(AE7:AE48),IF(AE7:AE48&gt;0,IF(AH7:AH48&lt;&gt;"",ROW(AE7:AE48)-MIN(ROW(AE7:AE48))+1))),ROW()-ROW(A$51)+1)),"|",";")," ","_")),"")</f>
        <v>0</v>
      </c>
      <c r="AJ56">
        <f t="array" ref="AJ56">IFERROR(CONCATENATE(INDEX(AM7:AM48,SMALL(IF(ISNUMBER(AJ7:AJ48),IF(AJ7:AJ48&gt;0,IF(AM7:AM48&lt;&gt;"",ROW(AJ7:AJ48)-MIN(ROW(AJ7:AJ48))+1))),ROW()-ROW(A$51)+1)),",",TEXT(INDEX(AJ7:AJ48,SMALL(IF(ISNUMBER(AJ7:AJ48),IF(AJ7:AJ48&gt;0,IF(AM7:AM48&lt;&gt;"",ROW(AJ7:AJ48)-MIN(ROW(AJ7:AJ48))+1))),ROW()-ROW(A$51)+1)),"##0"),",",SUBSTITUTE(INDEX(IF(PURCHASE_DESCRIPTION&lt;&gt;"",PURCHASE_DESCRIPTION&amp;":","")&amp;A7:A48,SMALL(IF(ISNUMBER(AJ7:AJ48),IF(AJ7:AJ48&gt;0,IF(AM7:AM48&lt;&gt;"",ROW(AJ7:AJ48)-MIN(ROW(AJ7:AJ48))+1))),ROW()-ROW(A$51)+1)),",",";")),"")</f>
        <v>0</v>
      </c>
      <c r="AO56">
        <f t="array" ref="AO56">IFERROR(CONCATENATE(INDEX(AR7:AR48,SMALL(IF(ISNUMBER(AO7:AO48),IF(AO7:AO48&gt;0,IF(AR7:AR48&lt;&gt;"",ROW(AO7:AO48)-MIN(ROW(AO7:AO48))+1))),ROW()-ROW(A$51)+1))," ",TEXT(INDEX(AO7:AO48,SMALL(IF(ISNUMBER(AO7:AO48),IF(AO7:AO48&gt;0,IF(AR7:AR48&lt;&gt;"",ROW(AO7:AO48)-MIN(ROW(AO7:AO48))+1))),ROW()-ROW(A$51)+1)),"##0")," ",SUBSTITUTE(INDEX(IF(PURCHASE_DESCRIPTION&lt;&gt;"",PURCHASE_DESCRIPTION&amp;":","")&amp;A7:A48,SMALL(IF(ISNUMBER(AO7:AO48),IF(AO7:AO48&gt;0,IF(AR7:AR48&lt;&gt;"",ROW(AO7:AO48)-MIN(ROW(AO7:AO48))+1))),ROW()-ROW(A$51)+1))," ",";")),"")</f>
        <v>0</v>
      </c>
      <c r="AT56">
        <f t="array" ref="AT56">IFERROR(CONCATENATE(INDEX(AW7:AW48,SMALL(IF(ISNUMBER(AT7:AT48),IF(AT7:AT48&gt;0,IF(AW7:AW48&lt;&gt;"",ROW(AT7:AT48)-MIN(ROW(AT7:AT48))+1))),ROW()-ROW(A$51)+1))," ",TEXT(INDEX(AT7:AT48,SMALL(IF(ISNUMBER(AT7:AT48),IF(AT7:AT48&gt;0,IF(AW7:AW48&lt;&gt;"",ROW(AT7:AT48)-MIN(ROW(AT7:AT48))+1))),ROW()-ROW(A$51)+1)),"##0")," ",SUBSTITUTE(INDEX(IF(PURCHASE_DESCRIPTION&lt;&gt;"",PURCHASE_DESCRIPTION&amp;":","")&amp;A7:A48,SMALL(IF(ISNUMBER(AT7:AT48),IF(AT7:AT48&gt;0,IF(AW7:AW48&lt;&gt;"",ROW(AT7:AT48)-MIN(ROW(AT7:AT48))+1))),ROW()-ROW(A$51)+1))," ",";")),"")</f>
        <v>0</v>
      </c>
    </row>
    <row r="57" spans="1:48">
      <c r="K57">
        <f t="array" ref="K57">IFERROR(CONCATENATE(INDEX(N7:N48,SMALL(IF(ISNUMBER(K7:K48),IF(K7:K48&gt;0,IF(N7:N48&lt;&gt;"",ROW(K7:K48)-MIN(ROW(K7:K48))+1))),ROW()-ROW(A$51)+1)),",",TEXT(INDEX(K7:K48,SMALL(IF(ISNUMBER(K7:K48),IF(K7:K48&gt;0,IF(N7:N48&lt;&gt;"",ROW(K7:K48)-MIN(ROW(K7:K48))+1))),ROW()-ROW(A$51)+1)),"##0"),",",SUBSTITUTE(INDEX(IF(PURCHASE_DESCRIPTION&lt;&gt;"",PURCHASE_DESCRIPTION&amp;":","")&amp;A7:A48,SMALL(IF(ISNUMBER(K7:K48),IF(K7:K48&gt;0,IF(N7:N48&lt;&gt;"",ROW(K7:K48)-MIN(ROW(K7:K48))+1))),ROW()-ROW(A$51)+1)),",",";")),"")</f>
        <v>0</v>
      </c>
      <c r="P57">
        <f t="array" ref="P57">IFERROR(CONCATENATE(TEXT(INDEX(P7:P48,SMALL(IF(ISNUMBER(P7:P48),IF(P7:P48&gt;0,IF(S7:S48&lt;&gt;"",ROW(P7:P48)-MIN(ROW(P7:P48))+1))),ROW()-ROW(A$51)+1)),"##0"),",",INDEX(S7:S48,SMALL(IF(ISNUMBER(P7:P48),IF(P7:P48&gt;0,IF(S7:S48&lt;&gt;"",ROW(P7:P48)-MIN(ROW(P7:P48))+1))),ROW()-ROW(A$51)+1)),",",SUBSTITUTE(INDEX(IF(PURCHASE_DESCRIPTION&lt;&gt;"",PURCHASE_DESCRIPTION&amp;":","")&amp;A7:A48,SMALL(IF(ISNUMBER(P7:P48),IF(P7:P48&gt;0,IF(S7:S48&lt;&gt;"",ROW(P7:P48)-MIN(ROW(P7:P48))+1))),ROW()-ROW(A$51)+1)),",",";")),"")</f>
        <v>0</v>
      </c>
      <c r="U57">
        <f t="array" ref="U57">IFERROR(CONCATENATE(INDEX(X7:X48,SMALL(IF(ISNUMBER(U7:U48),IF(U7:U48&gt;0,IF(X7:X48&lt;&gt;"",ROW(U7:U48)-MIN(ROW(U7:U48))+1))),ROW()-ROW(A$51)+1))," ",TEXT(INDEX(U7:U48,SMALL(IF(ISNUMBER(U7:U48),IF(U7:U48&gt;0,IF(X7:X48&lt;&gt;"",ROW(U7:U48)-MIN(ROW(U7:U48))+1))),ROW()-ROW(A$51)+1)),"##0")," ",SUBSTITUTE(INDEX(IF(PURCHASE_DESCRIPTION&lt;&gt;"",PURCHASE_DESCRIPTION&amp;":","")&amp;A7:A48,SMALL(IF(ISNUMBER(U7:U48),IF(U7:U48&gt;0,IF(X7:X48&lt;&gt;"",ROW(U7:U48)-MIN(ROW(U7:U48))+1))),ROW()-ROW(A$51)+1))," ",";")),"")</f>
        <v>0</v>
      </c>
      <c r="Z57">
        <f t="array" ref="Z57">IFERROR(CONCATENATE(TEXT(INDEX(Z7:Z48,SMALL(IF(ISNUMBER(Z7:Z48),IF(Z7:Z48&gt;0,IF(AC7:AC48&lt;&gt;"",ROW(Z7:Z48)-MIN(ROW(Z7:Z48))+1))),ROW()-ROW(A$52)+1)),"##0"),",",SUBSTITUTE(INDEX(IF(PURCHASE_DESCRIPTION&lt;&gt;"",PURCHASE_DESCRIPTION&amp;":","")&amp;A7:A48,SMALL(IF(ISNUMBER(Z7:Z48),IF(Z7:Z48&gt;0,IF(AC7:AC48&lt;&gt;"",ROW(Z7:Z48)-MIN(ROW(Z7:Z48))+1))),ROW()-ROW(A$52)+1)),",",";"),",",SUBSTITUTE(INDEX(IF(PURCHASE_DESCRIPTION&lt;&gt;"",PURCHASE_DESCRIPTION&amp;":","")&amp;D7:D48,SMALL(IF(ISNUMBER(Z7:Z48),IF(Z7:Z48&gt;0,IF(AC7:AC48&lt;&gt;"",ROW(Z7:Z48)-MIN(ROW(Z7:Z48))+1))),ROW()-ROW(A$52)+1)),",",";"),",",INDEX(AC7:AC48,SMALL(IF(ISNUMBER(Z7:Z48),IF(Z7:Z48&gt;0,IF(AC7:AC48&lt;&gt;"",ROW(Z7:Z48)-MIN(ROW(Z7:Z48))+1))),ROW()-ROW(A$52)+1))),"")</f>
        <v>0</v>
      </c>
      <c r="AE57">
        <f t="array" ref="AE57">IFERROR(CONCATENATE(INDEX(AH7:AH48,SMALL(IF(ISNUMBER(AE7:AE48),IF(AE7:AE48&gt;0,IF(AH7:AH48&lt;&gt;"",ROW(AE7:AE48)-MIN(ROW(AE7:AE48))+1))),ROW()-ROW(A$51)+1)),"|",TEXT(INDEX(AE7:AE48,SMALL(IF(ISNUMBER(AE7:AE48),IF(AE7:AE48&gt;0,IF(AH7:AH48&lt;&gt;"",ROW(AE7:AE48)-MIN(ROW(AE7:AE48))+1))),ROW()-ROW(A$51)+1)),"##0"),"|",SUBSTITUTE(SUBSTITUTE(INDEX(IF(PURCHASE_DESCRIPTION&lt;&gt;"",PURCHASE_DESCRIPTION&amp;":","")&amp;A7:A48,SMALL(IF(ISNUMBER(AE7:AE48),IF(AE7:AE48&gt;0,IF(AH7:AH48&lt;&gt;"",ROW(AE7:AE48)-MIN(ROW(AE7:AE48))+1))),ROW()-ROW(A$51)+1)),"|",";")," ","_")),"")</f>
        <v>0</v>
      </c>
      <c r="AJ57">
        <f t="array" ref="AJ57">IFERROR(CONCATENATE(INDEX(AM7:AM48,SMALL(IF(ISNUMBER(AJ7:AJ48),IF(AJ7:AJ48&gt;0,IF(AM7:AM48&lt;&gt;"",ROW(AJ7:AJ48)-MIN(ROW(AJ7:AJ48))+1))),ROW()-ROW(A$51)+1)),",",TEXT(INDEX(AJ7:AJ48,SMALL(IF(ISNUMBER(AJ7:AJ48),IF(AJ7:AJ48&gt;0,IF(AM7:AM48&lt;&gt;"",ROW(AJ7:AJ48)-MIN(ROW(AJ7:AJ48))+1))),ROW()-ROW(A$51)+1)),"##0"),",",SUBSTITUTE(INDEX(IF(PURCHASE_DESCRIPTION&lt;&gt;"",PURCHASE_DESCRIPTION&amp;":","")&amp;A7:A48,SMALL(IF(ISNUMBER(AJ7:AJ48),IF(AJ7:AJ48&gt;0,IF(AM7:AM48&lt;&gt;"",ROW(AJ7:AJ48)-MIN(ROW(AJ7:AJ48))+1))),ROW()-ROW(A$51)+1)),",",";")),"")</f>
        <v>0</v>
      </c>
      <c r="AO57">
        <f t="array" ref="AO57">IFERROR(CONCATENATE(INDEX(AR7:AR48,SMALL(IF(ISNUMBER(AO7:AO48),IF(AO7:AO48&gt;0,IF(AR7:AR48&lt;&gt;"",ROW(AO7:AO48)-MIN(ROW(AO7:AO48))+1))),ROW()-ROW(A$51)+1))," ",TEXT(INDEX(AO7:AO48,SMALL(IF(ISNUMBER(AO7:AO48),IF(AO7:AO48&gt;0,IF(AR7:AR48&lt;&gt;"",ROW(AO7:AO48)-MIN(ROW(AO7:AO48))+1))),ROW()-ROW(A$51)+1)),"##0")," ",SUBSTITUTE(INDEX(IF(PURCHASE_DESCRIPTION&lt;&gt;"",PURCHASE_DESCRIPTION&amp;":","")&amp;A7:A48,SMALL(IF(ISNUMBER(AO7:AO48),IF(AO7:AO48&gt;0,IF(AR7:AR48&lt;&gt;"",ROW(AO7:AO48)-MIN(ROW(AO7:AO48))+1))),ROW()-ROW(A$51)+1))," ",";")),"")</f>
        <v>0</v>
      </c>
      <c r="AT57">
        <f t="array" ref="AT57">IFERROR(CONCATENATE(INDEX(AW7:AW48,SMALL(IF(ISNUMBER(AT7:AT48),IF(AT7:AT48&gt;0,IF(AW7:AW48&lt;&gt;"",ROW(AT7:AT48)-MIN(ROW(AT7:AT48))+1))),ROW()-ROW(A$51)+1))," ",TEXT(INDEX(AT7:AT48,SMALL(IF(ISNUMBER(AT7:AT48),IF(AT7:AT48&gt;0,IF(AW7:AW48&lt;&gt;"",ROW(AT7:AT48)-MIN(ROW(AT7:AT48))+1))),ROW()-ROW(A$51)+1)),"##0")," ",SUBSTITUTE(INDEX(IF(PURCHASE_DESCRIPTION&lt;&gt;"",PURCHASE_DESCRIPTION&amp;":","")&amp;A7:A48,SMALL(IF(ISNUMBER(AT7:AT48),IF(AT7:AT48&gt;0,IF(AW7:AW48&lt;&gt;"",ROW(AT7:AT48)-MIN(ROW(AT7:AT48))+1))),ROW()-ROW(A$51)+1))," ",";")),"")</f>
        <v>0</v>
      </c>
    </row>
    <row r="58" spans="1:48">
      <c r="K58">
        <f t="array" ref="K58">IFERROR(CONCATENATE(INDEX(N7:N48,SMALL(IF(ISNUMBER(K7:K48),IF(K7:K48&gt;0,IF(N7:N48&lt;&gt;"",ROW(K7:K48)-MIN(ROW(K7:K48))+1))),ROW()-ROW(A$51)+1)),",",TEXT(INDEX(K7:K48,SMALL(IF(ISNUMBER(K7:K48),IF(K7:K48&gt;0,IF(N7:N48&lt;&gt;"",ROW(K7:K48)-MIN(ROW(K7:K48))+1))),ROW()-ROW(A$51)+1)),"##0"),",",SUBSTITUTE(INDEX(IF(PURCHASE_DESCRIPTION&lt;&gt;"",PURCHASE_DESCRIPTION&amp;":","")&amp;A7:A48,SMALL(IF(ISNUMBER(K7:K48),IF(K7:K48&gt;0,IF(N7:N48&lt;&gt;"",ROW(K7:K48)-MIN(ROW(K7:K48))+1))),ROW()-ROW(A$51)+1)),",",";")),"")</f>
        <v>0</v>
      </c>
      <c r="P58">
        <f t="array" ref="P58">IFERROR(CONCATENATE(TEXT(INDEX(P7:P48,SMALL(IF(ISNUMBER(P7:P48),IF(P7:P48&gt;0,IF(S7:S48&lt;&gt;"",ROW(P7:P48)-MIN(ROW(P7:P48))+1))),ROW()-ROW(A$51)+1)),"##0"),",",INDEX(S7:S48,SMALL(IF(ISNUMBER(P7:P48),IF(P7:P48&gt;0,IF(S7:S48&lt;&gt;"",ROW(P7:P48)-MIN(ROW(P7:P48))+1))),ROW()-ROW(A$51)+1)),",",SUBSTITUTE(INDEX(IF(PURCHASE_DESCRIPTION&lt;&gt;"",PURCHASE_DESCRIPTION&amp;":","")&amp;A7:A48,SMALL(IF(ISNUMBER(P7:P48),IF(P7:P48&gt;0,IF(S7:S48&lt;&gt;"",ROW(P7:P48)-MIN(ROW(P7:P48))+1))),ROW()-ROW(A$51)+1)),",",";")),"")</f>
        <v>0</v>
      </c>
      <c r="U58">
        <f t="array" ref="U58">IFERROR(CONCATENATE(INDEX(X7:X48,SMALL(IF(ISNUMBER(U7:U48),IF(U7:U48&gt;0,IF(X7:X48&lt;&gt;"",ROW(U7:U48)-MIN(ROW(U7:U48))+1))),ROW()-ROW(A$51)+1))," ",TEXT(INDEX(U7:U48,SMALL(IF(ISNUMBER(U7:U48),IF(U7:U48&gt;0,IF(X7:X48&lt;&gt;"",ROW(U7:U48)-MIN(ROW(U7:U48))+1))),ROW()-ROW(A$51)+1)),"##0")," ",SUBSTITUTE(INDEX(IF(PURCHASE_DESCRIPTION&lt;&gt;"",PURCHASE_DESCRIPTION&amp;":","")&amp;A7:A48,SMALL(IF(ISNUMBER(U7:U48),IF(U7:U48&gt;0,IF(X7:X48&lt;&gt;"",ROW(U7:U48)-MIN(ROW(U7:U48))+1))),ROW()-ROW(A$51)+1))," ",";")),"")</f>
        <v>0</v>
      </c>
      <c r="Z58">
        <f t="array" ref="Z58">IFERROR(CONCATENATE(TEXT(INDEX(Z7:Z48,SMALL(IF(ISNUMBER(Z7:Z48),IF(Z7:Z48&gt;0,IF(AC7:AC48&lt;&gt;"",ROW(Z7:Z48)-MIN(ROW(Z7:Z48))+1))),ROW()-ROW(A$52)+1)),"##0"),",",SUBSTITUTE(INDEX(IF(PURCHASE_DESCRIPTION&lt;&gt;"",PURCHASE_DESCRIPTION&amp;":","")&amp;A7:A48,SMALL(IF(ISNUMBER(Z7:Z48),IF(Z7:Z48&gt;0,IF(AC7:AC48&lt;&gt;"",ROW(Z7:Z48)-MIN(ROW(Z7:Z48))+1))),ROW()-ROW(A$52)+1)),",",";"),",",SUBSTITUTE(INDEX(IF(PURCHASE_DESCRIPTION&lt;&gt;"",PURCHASE_DESCRIPTION&amp;":","")&amp;D7:D48,SMALL(IF(ISNUMBER(Z7:Z48),IF(Z7:Z48&gt;0,IF(AC7:AC48&lt;&gt;"",ROW(Z7:Z48)-MIN(ROW(Z7:Z48))+1))),ROW()-ROW(A$52)+1)),",",";"),",",INDEX(AC7:AC48,SMALL(IF(ISNUMBER(Z7:Z48),IF(Z7:Z48&gt;0,IF(AC7:AC48&lt;&gt;"",ROW(Z7:Z48)-MIN(ROW(Z7:Z48))+1))),ROW()-ROW(A$52)+1))),"")</f>
        <v>0</v>
      </c>
      <c r="AE58">
        <f t="array" ref="AE58">IFERROR(CONCATENATE(INDEX(AH7:AH48,SMALL(IF(ISNUMBER(AE7:AE48),IF(AE7:AE48&gt;0,IF(AH7:AH48&lt;&gt;"",ROW(AE7:AE48)-MIN(ROW(AE7:AE48))+1))),ROW()-ROW(A$51)+1)),"|",TEXT(INDEX(AE7:AE48,SMALL(IF(ISNUMBER(AE7:AE48),IF(AE7:AE48&gt;0,IF(AH7:AH48&lt;&gt;"",ROW(AE7:AE48)-MIN(ROW(AE7:AE48))+1))),ROW()-ROW(A$51)+1)),"##0"),"|",SUBSTITUTE(SUBSTITUTE(INDEX(IF(PURCHASE_DESCRIPTION&lt;&gt;"",PURCHASE_DESCRIPTION&amp;":","")&amp;A7:A48,SMALL(IF(ISNUMBER(AE7:AE48),IF(AE7:AE48&gt;0,IF(AH7:AH48&lt;&gt;"",ROW(AE7:AE48)-MIN(ROW(AE7:AE48))+1))),ROW()-ROW(A$51)+1)),"|",";")," ","_")),"")</f>
        <v>0</v>
      </c>
      <c r="AJ58">
        <f t="array" ref="AJ58">IFERROR(CONCATENATE(INDEX(AM7:AM48,SMALL(IF(ISNUMBER(AJ7:AJ48),IF(AJ7:AJ48&gt;0,IF(AM7:AM48&lt;&gt;"",ROW(AJ7:AJ48)-MIN(ROW(AJ7:AJ48))+1))),ROW()-ROW(A$51)+1)),",",TEXT(INDEX(AJ7:AJ48,SMALL(IF(ISNUMBER(AJ7:AJ48),IF(AJ7:AJ48&gt;0,IF(AM7:AM48&lt;&gt;"",ROW(AJ7:AJ48)-MIN(ROW(AJ7:AJ48))+1))),ROW()-ROW(A$51)+1)),"##0"),",",SUBSTITUTE(INDEX(IF(PURCHASE_DESCRIPTION&lt;&gt;"",PURCHASE_DESCRIPTION&amp;":","")&amp;A7:A48,SMALL(IF(ISNUMBER(AJ7:AJ48),IF(AJ7:AJ48&gt;0,IF(AM7:AM48&lt;&gt;"",ROW(AJ7:AJ48)-MIN(ROW(AJ7:AJ48))+1))),ROW()-ROW(A$51)+1)),",",";")),"")</f>
        <v>0</v>
      </c>
      <c r="AO58">
        <f t="array" ref="AO58">IFERROR(CONCATENATE(INDEX(AR7:AR48,SMALL(IF(ISNUMBER(AO7:AO48),IF(AO7:AO48&gt;0,IF(AR7:AR48&lt;&gt;"",ROW(AO7:AO48)-MIN(ROW(AO7:AO48))+1))),ROW()-ROW(A$51)+1))," ",TEXT(INDEX(AO7:AO48,SMALL(IF(ISNUMBER(AO7:AO48),IF(AO7:AO48&gt;0,IF(AR7:AR48&lt;&gt;"",ROW(AO7:AO48)-MIN(ROW(AO7:AO48))+1))),ROW()-ROW(A$51)+1)),"##0")," ",SUBSTITUTE(INDEX(IF(PURCHASE_DESCRIPTION&lt;&gt;"",PURCHASE_DESCRIPTION&amp;":","")&amp;A7:A48,SMALL(IF(ISNUMBER(AO7:AO48),IF(AO7:AO48&gt;0,IF(AR7:AR48&lt;&gt;"",ROW(AO7:AO48)-MIN(ROW(AO7:AO48))+1))),ROW()-ROW(A$51)+1))," ",";")),"")</f>
        <v>0</v>
      </c>
      <c r="AT58">
        <f t="array" ref="AT58">IFERROR(CONCATENATE(INDEX(AW7:AW48,SMALL(IF(ISNUMBER(AT7:AT48),IF(AT7:AT48&gt;0,IF(AW7:AW48&lt;&gt;"",ROW(AT7:AT48)-MIN(ROW(AT7:AT48))+1))),ROW()-ROW(A$51)+1))," ",TEXT(INDEX(AT7:AT48,SMALL(IF(ISNUMBER(AT7:AT48),IF(AT7:AT48&gt;0,IF(AW7:AW48&lt;&gt;"",ROW(AT7:AT48)-MIN(ROW(AT7:AT48))+1))),ROW()-ROW(A$51)+1)),"##0")," ",SUBSTITUTE(INDEX(IF(PURCHASE_DESCRIPTION&lt;&gt;"",PURCHASE_DESCRIPTION&amp;":","")&amp;A7:A48,SMALL(IF(ISNUMBER(AT7:AT48),IF(AT7:AT48&gt;0,IF(AW7:AW48&lt;&gt;"",ROW(AT7:AT48)-MIN(ROW(AT7:AT48))+1))),ROW()-ROW(A$51)+1))," ",";")),"")</f>
        <v>0</v>
      </c>
    </row>
    <row r="59" spans="1:48">
      <c r="K59">
        <f t="array" ref="K59">IFERROR(CONCATENATE(INDEX(N7:N48,SMALL(IF(ISNUMBER(K7:K48),IF(K7:K48&gt;0,IF(N7:N48&lt;&gt;"",ROW(K7:K48)-MIN(ROW(K7:K48))+1))),ROW()-ROW(A$51)+1)),",",TEXT(INDEX(K7:K48,SMALL(IF(ISNUMBER(K7:K48),IF(K7:K48&gt;0,IF(N7:N48&lt;&gt;"",ROW(K7:K48)-MIN(ROW(K7:K48))+1))),ROW()-ROW(A$51)+1)),"##0"),",",SUBSTITUTE(INDEX(IF(PURCHASE_DESCRIPTION&lt;&gt;"",PURCHASE_DESCRIPTION&amp;":","")&amp;A7:A48,SMALL(IF(ISNUMBER(K7:K48),IF(K7:K48&gt;0,IF(N7:N48&lt;&gt;"",ROW(K7:K48)-MIN(ROW(K7:K48))+1))),ROW()-ROW(A$51)+1)),",",";")),"")</f>
        <v>0</v>
      </c>
      <c r="P59">
        <f t="array" ref="P59">IFERROR(CONCATENATE(TEXT(INDEX(P7:P48,SMALL(IF(ISNUMBER(P7:P48),IF(P7:P48&gt;0,IF(S7:S48&lt;&gt;"",ROW(P7:P48)-MIN(ROW(P7:P48))+1))),ROW()-ROW(A$51)+1)),"##0"),",",INDEX(S7:S48,SMALL(IF(ISNUMBER(P7:P48),IF(P7:P48&gt;0,IF(S7:S48&lt;&gt;"",ROW(P7:P48)-MIN(ROW(P7:P48))+1))),ROW()-ROW(A$51)+1)),",",SUBSTITUTE(INDEX(IF(PURCHASE_DESCRIPTION&lt;&gt;"",PURCHASE_DESCRIPTION&amp;":","")&amp;A7:A48,SMALL(IF(ISNUMBER(P7:P48),IF(P7:P48&gt;0,IF(S7:S48&lt;&gt;"",ROW(P7:P48)-MIN(ROW(P7:P48))+1))),ROW()-ROW(A$51)+1)),",",";")),"")</f>
        <v>0</v>
      </c>
      <c r="U59">
        <f t="array" ref="U59">IFERROR(CONCATENATE(INDEX(X7:X48,SMALL(IF(ISNUMBER(U7:U48),IF(U7:U48&gt;0,IF(X7:X48&lt;&gt;"",ROW(U7:U48)-MIN(ROW(U7:U48))+1))),ROW()-ROW(A$51)+1))," ",TEXT(INDEX(U7:U48,SMALL(IF(ISNUMBER(U7:U48),IF(U7:U48&gt;0,IF(X7:X48&lt;&gt;"",ROW(U7:U48)-MIN(ROW(U7:U48))+1))),ROW()-ROW(A$51)+1)),"##0")," ",SUBSTITUTE(INDEX(IF(PURCHASE_DESCRIPTION&lt;&gt;"",PURCHASE_DESCRIPTION&amp;":","")&amp;A7:A48,SMALL(IF(ISNUMBER(U7:U48),IF(U7:U48&gt;0,IF(X7:X48&lt;&gt;"",ROW(U7:U48)-MIN(ROW(U7:U48))+1))),ROW()-ROW(A$51)+1))," ",";")),"")</f>
        <v>0</v>
      </c>
      <c r="Z59">
        <f t="array" ref="Z59">IFERROR(CONCATENATE(TEXT(INDEX(Z7:Z48,SMALL(IF(ISNUMBER(Z7:Z48),IF(Z7:Z48&gt;0,IF(AC7:AC48&lt;&gt;"",ROW(Z7:Z48)-MIN(ROW(Z7:Z48))+1))),ROW()-ROW(A$52)+1)),"##0"),",",SUBSTITUTE(INDEX(IF(PURCHASE_DESCRIPTION&lt;&gt;"",PURCHASE_DESCRIPTION&amp;":","")&amp;A7:A48,SMALL(IF(ISNUMBER(Z7:Z48),IF(Z7:Z48&gt;0,IF(AC7:AC48&lt;&gt;"",ROW(Z7:Z48)-MIN(ROW(Z7:Z48))+1))),ROW()-ROW(A$52)+1)),",",";"),",",SUBSTITUTE(INDEX(IF(PURCHASE_DESCRIPTION&lt;&gt;"",PURCHASE_DESCRIPTION&amp;":","")&amp;D7:D48,SMALL(IF(ISNUMBER(Z7:Z48),IF(Z7:Z48&gt;0,IF(AC7:AC48&lt;&gt;"",ROW(Z7:Z48)-MIN(ROW(Z7:Z48))+1))),ROW()-ROW(A$52)+1)),",",";"),",",INDEX(AC7:AC48,SMALL(IF(ISNUMBER(Z7:Z48),IF(Z7:Z48&gt;0,IF(AC7:AC48&lt;&gt;"",ROW(Z7:Z48)-MIN(ROW(Z7:Z48))+1))),ROW()-ROW(A$52)+1))),"")</f>
        <v>0</v>
      </c>
      <c r="AE59">
        <f t="array" ref="AE59">IFERROR(CONCATENATE(INDEX(AH7:AH48,SMALL(IF(ISNUMBER(AE7:AE48),IF(AE7:AE48&gt;0,IF(AH7:AH48&lt;&gt;"",ROW(AE7:AE48)-MIN(ROW(AE7:AE48))+1))),ROW()-ROW(A$51)+1)),"|",TEXT(INDEX(AE7:AE48,SMALL(IF(ISNUMBER(AE7:AE48),IF(AE7:AE48&gt;0,IF(AH7:AH48&lt;&gt;"",ROW(AE7:AE48)-MIN(ROW(AE7:AE48))+1))),ROW()-ROW(A$51)+1)),"##0"),"|",SUBSTITUTE(SUBSTITUTE(INDEX(IF(PURCHASE_DESCRIPTION&lt;&gt;"",PURCHASE_DESCRIPTION&amp;":","")&amp;A7:A48,SMALL(IF(ISNUMBER(AE7:AE48),IF(AE7:AE48&gt;0,IF(AH7:AH48&lt;&gt;"",ROW(AE7:AE48)-MIN(ROW(AE7:AE48))+1))),ROW()-ROW(A$51)+1)),"|",";")," ","_")),"")</f>
        <v>0</v>
      </c>
      <c r="AJ59">
        <f t="array" ref="AJ59">IFERROR(CONCATENATE(INDEX(AM7:AM48,SMALL(IF(ISNUMBER(AJ7:AJ48),IF(AJ7:AJ48&gt;0,IF(AM7:AM48&lt;&gt;"",ROW(AJ7:AJ48)-MIN(ROW(AJ7:AJ48))+1))),ROW()-ROW(A$51)+1)),",",TEXT(INDEX(AJ7:AJ48,SMALL(IF(ISNUMBER(AJ7:AJ48),IF(AJ7:AJ48&gt;0,IF(AM7:AM48&lt;&gt;"",ROW(AJ7:AJ48)-MIN(ROW(AJ7:AJ48))+1))),ROW()-ROW(A$51)+1)),"##0"),",",SUBSTITUTE(INDEX(IF(PURCHASE_DESCRIPTION&lt;&gt;"",PURCHASE_DESCRIPTION&amp;":","")&amp;A7:A48,SMALL(IF(ISNUMBER(AJ7:AJ48),IF(AJ7:AJ48&gt;0,IF(AM7:AM48&lt;&gt;"",ROW(AJ7:AJ48)-MIN(ROW(AJ7:AJ48))+1))),ROW()-ROW(A$51)+1)),",",";")),"")</f>
        <v>0</v>
      </c>
      <c r="AO59">
        <f t="array" ref="AO59">IFERROR(CONCATENATE(INDEX(AR7:AR48,SMALL(IF(ISNUMBER(AO7:AO48),IF(AO7:AO48&gt;0,IF(AR7:AR48&lt;&gt;"",ROW(AO7:AO48)-MIN(ROW(AO7:AO48))+1))),ROW()-ROW(A$51)+1))," ",TEXT(INDEX(AO7:AO48,SMALL(IF(ISNUMBER(AO7:AO48),IF(AO7:AO48&gt;0,IF(AR7:AR48&lt;&gt;"",ROW(AO7:AO48)-MIN(ROW(AO7:AO48))+1))),ROW()-ROW(A$51)+1)),"##0")," ",SUBSTITUTE(INDEX(IF(PURCHASE_DESCRIPTION&lt;&gt;"",PURCHASE_DESCRIPTION&amp;":","")&amp;A7:A48,SMALL(IF(ISNUMBER(AO7:AO48),IF(AO7:AO48&gt;0,IF(AR7:AR48&lt;&gt;"",ROW(AO7:AO48)-MIN(ROW(AO7:AO48))+1))),ROW()-ROW(A$51)+1))," ",";")),"")</f>
        <v>0</v>
      </c>
      <c r="AT59">
        <f t="array" ref="AT59">IFERROR(CONCATENATE(INDEX(AW7:AW48,SMALL(IF(ISNUMBER(AT7:AT48),IF(AT7:AT48&gt;0,IF(AW7:AW48&lt;&gt;"",ROW(AT7:AT48)-MIN(ROW(AT7:AT48))+1))),ROW()-ROW(A$51)+1))," ",TEXT(INDEX(AT7:AT48,SMALL(IF(ISNUMBER(AT7:AT48),IF(AT7:AT48&gt;0,IF(AW7:AW48&lt;&gt;"",ROW(AT7:AT48)-MIN(ROW(AT7:AT48))+1))),ROW()-ROW(A$51)+1)),"##0")," ",SUBSTITUTE(INDEX(IF(PURCHASE_DESCRIPTION&lt;&gt;"",PURCHASE_DESCRIPTION&amp;":","")&amp;A7:A48,SMALL(IF(ISNUMBER(AT7:AT48),IF(AT7:AT48&gt;0,IF(AW7:AW48&lt;&gt;"",ROW(AT7:AT48)-MIN(ROW(AT7:AT48))+1))),ROW()-ROW(A$51)+1))," ",";")),"")</f>
        <v>0</v>
      </c>
    </row>
    <row r="60" spans="1:48">
      <c r="K60">
        <f t="array" ref="K60">IFERROR(CONCATENATE(INDEX(N7:N48,SMALL(IF(ISNUMBER(K7:K48),IF(K7:K48&gt;0,IF(N7:N48&lt;&gt;"",ROW(K7:K48)-MIN(ROW(K7:K48))+1))),ROW()-ROW(A$51)+1)),",",TEXT(INDEX(K7:K48,SMALL(IF(ISNUMBER(K7:K48),IF(K7:K48&gt;0,IF(N7:N48&lt;&gt;"",ROW(K7:K48)-MIN(ROW(K7:K48))+1))),ROW()-ROW(A$51)+1)),"##0"),",",SUBSTITUTE(INDEX(IF(PURCHASE_DESCRIPTION&lt;&gt;"",PURCHASE_DESCRIPTION&amp;":","")&amp;A7:A48,SMALL(IF(ISNUMBER(K7:K48),IF(K7:K48&gt;0,IF(N7:N48&lt;&gt;"",ROW(K7:K48)-MIN(ROW(K7:K48))+1))),ROW()-ROW(A$51)+1)),",",";")),"")</f>
        <v>0</v>
      </c>
      <c r="P60">
        <f t="array" ref="P60">IFERROR(CONCATENATE(TEXT(INDEX(P7:P48,SMALL(IF(ISNUMBER(P7:P48),IF(P7:P48&gt;0,IF(S7:S48&lt;&gt;"",ROW(P7:P48)-MIN(ROW(P7:P48))+1))),ROW()-ROW(A$51)+1)),"##0"),",",INDEX(S7:S48,SMALL(IF(ISNUMBER(P7:P48),IF(P7:P48&gt;0,IF(S7:S48&lt;&gt;"",ROW(P7:P48)-MIN(ROW(P7:P48))+1))),ROW()-ROW(A$51)+1)),",",SUBSTITUTE(INDEX(IF(PURCHASE_DESCRIPTION&lt;&gt;"",PURCHASE_DESCRIPTION&amp;":","")&amp;A7:A48,SMALL(IF(ISNUMBER(P7:P48),IF(P7:P48&gt;0,IF(S7:S48&lt;&gt;"",ROW(P7:P48)-MIN(ROW(P7:P48))+1))),ROW()-ROW(A$51)+1)),",",";")),"")</f>
        <v>0</v>
      </c>
      <c r="U60">
        <f t="array" ref="U60">IFERROR(CONCATENATE(INDEX(X7:X48,SMALL(IF(ISNUMBER(U7:U48),IF(U7:U48&gt;0,IF(X7:X48&lt;&gt;"",ROW(U7:U48)-MIN(ROW(U7:U48))+1))),ROW()-ROW(A$51)+1))," ",TEXT(INDEX(U7:U48,SMALL(IF(ISNUMBER(U7:U48),IF(U7:U48&gt;0,IF(X7:X48&lt;&gt;"",ROW(U7:U48)-MIN(ROW(U7:U48))+1))),ROW()-ROW(A$51)+1)),"##0")," ",SUBSTITUTE(INDEX(IF(PURCHASE_DESCRIPTION&lt;&gt;"",PURCHASE_DESCRIPTION&amp;":","")&amp;A7:A48,SMALL(IF(ISNUMBER(U7:U48),IF(U7:U48&gt;0,IF(X7:X48&lt;&gt;"",ROW(U7:U48)-MIN(ROW(U7:U48))+1))),ROW()-ROW(A$51)+1))," ",";")),"")</f>
        <v>0</v>
      </c>
      <c r="Z60">
        <f t="array" ref="Z60">IFERROR(CONCATENATE(TEXT(INDEX(Z7:Z48,SMALL(IF(ISNUMBER(Z7:Z48),IF(Z7:Z48&gt;0,IF(AC7:AC48&lt;&gt;"",ROW(Z7:Z48)-MIN(ROW(Z7:Z48))+1))),ROW()-ROW(A$52)+1)),"##0"),",",SUBSTITUTE(INDEX(IF(PURCHASE_DESCRIPTION&lt;&gt;"",PURCHASE_DESCRIPTION&amp;":","")&amp;A7:A48,SMALL(IF(ISNUMBER(Z7:Z48),IF(Z7:Z48&gt;0,IF(AC7:AC48&lt;&gt;"",ROW(Z7:Z48)-MIN(ROW(Z7:Z48))+1))),ROW()-ROW(A$52)+1)),",",";"),",",SUBSTITUTE(INDEX(IF(PURCHASE_DESCRIPTION&lt;&gt;"",PURCHASE_DESCRIPTION&amp;":","")&amp;D7:D48,SMALL(IF(ISNUMBER(Z7:Z48),IF(Z7:Z48&gt;0,IF(AC7:AC48&lt;&gt;"",ROW(Z7:Z48)-MIN(ROW(Z7:Z48))+1))),ROW()-ROW(A$52)+1)),",",";"),",",INDEX(AC7:AC48,SMALL(IF(ISNUMBER(Z7:Z48),IF(Z7:Z48&gt;0,IF(AC7:AC48&lt;&gt;"",ROW(Z7:Z48)-MIN(ROW(Z7:Z48))+1))),ROW()-ROW(A$52)+1))),"")</f>
        <v>0</v>
      </c>
      <c r="AE60">
        <f t="array" ref="AE60">IFERROR(CONCATENATE(INDEX(AH7:AH48,SMALL(IF(ISNUMBER(AE7:AE48),IF(AE7:AE48&gt;0,IF(AH7:AH48&lt;&gt;"",ROW(AE7:AE48)-MIN(ROW(AE7:AE48))+1))),ROW()-ROW(A$51)+1)),"|",TEXT(INDEX(AE7:AE48,SMALL(IF(ISNUMBER(AE7:AE48),IF(AE7:AE48&gt;0,IF(AH7:AH48&lt;&gt;"",ROW(AE7:AE48)-MIN(ROW(AE7:AE48))+1))),ROW()-ROW(A$51)+1)),"##0"),"|",SUBSTITUTE(SUBSTITUTE(INDEX(IF(PURCHASE_DESCRIPTION&lt;&gt;"",PURCHASE_DESCRIPTION&amp;":","")&amp;A7:A48,SMALL(IF(ISNUMBER(AE7:AE48),IF(AE7:AE48&gt;0,IF(AH7:AH48&lt;&gt;"",ROW(AE7:AE48)-MIN(ROW(AE7:AE48))+1))),ROW()-ROW(A$51)+1)),"|",";")," ","_")),"")</f>
        <v>0</v>
      </c>
      <c r="AJ60">
        <f t="array" ref="AJ60">IFERROR(CONCATENATE(INDEX(AM7:AM48,SMALL(IF(ISNUMBER(AJ7:AJ48),IF(AJ7:AJ48&gt;0,IF(AM7:AM48&lt;&gt;"",ROW(AJ7:AJ48)-MIN(ROW(AJ7:AJ48))+1))),ROW()-ROW(A$51)+1)),",",TEXT(INDEX(AJ7:AJ48,SMALL(IF(ISNUMBER(AJ7:AJ48),IF(AJ7:AJ48&gt;0,IF(AM7:AM48&lt;&gt;"",ROW(AJ7:AJ48)-MIN(ROW(AJ7:AJ48))+1))),ROW()-ROW(A$51)+1)),"##0"),",",SUBSTITUTE(INDEX(IF(PURCHASE_DESCRIPTION&lt;&gt;"",PURCHASE_DESCRIPTION&amp;":","")&amp;A7:A48,SMALL(IF(ISNUMBER(AJ7:AJ48),IF(AJ7:AJ48&gt;0,IF(AM7:AM48&lt;&gt;"",ROW(AJ7:AJ48)-MIN(ROW(AJ7:AJ48))+1))),ROW()-ROW(A$51)+1)),",",";")),"")</f>
        <v>0</v>
      </c>
      <c r="AO60">
        <f t="array" ref="AO60">IFERROR(CONCATENATE(INDEX(AR7:AR48,SMALL(IF(ISNUMBER(AO7:AO48),IF(AO7:AO48&gt;0,IF(AR7:AR48&lt;&gt;"",ROW(AO7:AO48)-MIN(ROW(AO7:AO48))+1))),ROW()-ROW(A$51)+1))," ",TEXT(INDEX(AO7:AO48,SMALL(IF(ISNUMBER(AO7:AO48),IF(AO7:AO48&gt;0,IF(AR7:AR48&lt;&gt;"",ROW(AO7:AO48)-MIN(ROW(AO7:AO48))+1))),ROW()-ROW(A$51)+1)),"##0")," ",SUBSTITUTE(INDEX(IF(PURCHASE_DESCRIPTION&lt;&gt;"",PURCHASE_DESCRIPTION&amp;":","")&amp;A7:A48,SMALL(IF(ISNUMBER(AO7:AO48),IF(AO7:AO48&gt;0,IF(AR7:AR48&lt;&gt;"",ROW(AO7:AO48)-MIN(ROW(AO7:AO48))+1))),ROW()-ROW(A$51)+1))," ",";")),"")</f>
        <v>0</v>
      </c>
      <c r="AT60">
        <f t="array" ref="AT60">IFERROR(CONCATENATE(INDEX(AW7:AW48,SMALL(IF(ISNUMBER(AT7:AT48),IF(AT7:AT48&gt;0,IF(AW7:AW48&lt;&gt;"",ROW(AT7:AT48)-MIN(ROW(AT7:AT48))+1))),ROW()-ROW(A$51)+1))," ",TEXT(INDEX(AT7:AT48,SMALL(IF(ISNUMBER(AT7:AT48),IF(AT7:AT48&gt;0,IF(AW7:AW48&lt;&gt;"",ROW(AT7:AT48)-MIN(ROW(AT7:AT48))+1))),ROW()-ROW(A$51)+1)),"##0")," ",SUBSTITUTE(INDEX(IF(PURCHASE_DESCRIPTION&lt;&gt;"",PURCHASE_DESCRIPTION&amp;":","")&amp;A7:A48,SMALL(IF(ISNUMBER(AT7:AT48),IF(AT7:AT48&gt;0,IF(AW7:AW48&lt;&gt;"",ROW(AT7:AT48)-MIN(ROW(AT7:AT48))+1))),ROW()-ROW(A$51)+1))," ",";")),"")</f>
        <v>0</v>
      </c>
    </row>
    <row r="61" spans="1:48">
      <c r="K61">
        <f t="array" ref="K61">IFERROR(CONCATENATE(INDEX(N7:N48,SMALL(IF(ISNUMBER(K7:K48),IF(K7:K48&gt;0,IF(N7:N48&lt;&gt;"",ROW(K7:K48)-MIN(ROW(K7:K48))+1))),ROW()-ROW(A$51)+1)),",",TEXT(INDEX(K7:K48,SMALL(IF(ISNUMBER(K7:K48),IF(K7:K48&gt;0,IF(N7:N48&lt;&gt;"",ROW(K7:K48)-MIN(ROW(K7:K48))+1))),ROW()-ROW(A$51)+1)),"##0"),",",SUBSTITUTE(INDEX(IF(PURCHASE_DESCRIPTION&lt;&gt;"",PURCHASE_DESCRIPTION&amp;":","")&amp;A7:A48,SMALL(IF(ISNUMBER(K7:K48),IF(K7:K48&gt;0,IF(N7:N48&lt;&gt;"",ROW(K7:K48)-MIN(ROW(K7:K48))+1))),ROW()-ROW(A$51)+1)),",",";")),"")</f>
        <v>0</v>
      </c>
      <c r="P61">
        <f t="array" ref="P61">IFERROR(CONCATENATE(TEXT(INDEX(P7:P48,SMALL(IF(ISNUMBER(P7:P48),IF(P7:P48&gt;0,IF(S7:S48&lt;&gt;"",ROW(P7:P48)-MIN(ROW(P7:P48))+1))),ROW()-ROW(A$51)+1)),"##0"),",",INDEX(S7:S48,SMALL(IF(ISNUMBER(P7:P48),IF(P7:P48&gt;0,IF(S7:S48&lt;&gt;"",ROW(P7:P48)-MIN(ROW(P7:P48))+1))),ROW()-ROW(A$51)+1)),",",SUBSTITUTE(INDEX(IF(PURCHASE_DESCRIPTION&lt;&gt;"",PURCHASE_DESCRIPTION&amp;":","")&amp;A7:A48,SMALL(IF(ISNUMBER(P7:P48),IF(P7:P48&gt;0,IF(S7:S48&lt;&gt;"",ROW(P7:P48)-MIN(ROW(P7:P48))+1))),ROW()-ROW(A$51)+1)),",",";")),"")</f>
        <v>0</v>
      </c>
      <c r="U61">
        <f t="array" ref="U61">IFERROR(CONCATENATE(INDEX(X7:X48,SMALL(IF(ISNUMBER(U7:U48),IF(U7:U48&gt;0,IF(X7:X48&lt;&gt;"",ROW(U7:U48)-MIN(ROW(U7:U48))+1))),ROW()-ROW(A$51)+1))," ",TEXT(INDEX(U7:U48,SMALL(IF(ISNUMBER(U7:U48),IF(U7:U48&gt;0,IF(X7:X48&lt;&gt;"",ROW(U7:U48)-MIN(ROW(U7:U48))+1))),ROW()-ROW(A$51)+1)),"##0")," ",SUBSTITUTE(INDEX(IF(PURCHASE_DESCRIPTION&lt;&gt;"",PURCHASE_DESCRIPTION&amp;":","")&amp;A7:A48,SMALL(IF(ISNUMBER(U7:U48),IF(U7:U48&gt;0,IF(X7:X48&lt;&gt;"",ROW(U7:U48)-MIN(ROW(U7:U48))+1))),ROW()-ROW(A$51)+1))," ",";")),"")</f>
        <v>0</v>
      </c>
      <c r="Z61">
        <f t="array" ref="Z61">IFERROR(CONCATENATE(TEXT(INDEX(Z7:Z48,SMALL(IF(ISNUMBER(Z7:Z48),IF(Z7:Z48&gt;0,IF(AC7:AC48&lt;&gt;"",ROW(Z7:Z48)-MIN(ROW(Z7:Z48))+1))),ROW()-ROW(A$52)+1)),"##0"),",",SUBSTITUTE(INDEX(IF(PURCHASE_DESCRIPTION&lt;&gt;"",PURCHASE_DESCRIPTION&amp;":","")&amp;A7:A48,SMALL(IF(ISNUMBER(Z7:Z48),IF(Z7:Z48&gt;0,IF(AC7:AC48&lt;&gt;"",ROW(Z7:Z48)-MIN(ROW(Z7:Z48))+1))),ROW()-ROW(A$52)+1)),",",";"),",",SUBSTITUTE(INDEX(IF(PURCHASE_DESCRIPTION&lt;&gt;"",PURCHASE_DESCRIPTION&amp;":","")&amp;D7:D48,SMALL(IF(ISNUMBER(Z7:Z48),IF(Z7:Z48&gt;0,IF(AC7:AC48&lt;&gt;"",ROW(Z7:Z48)-MIN(ROW(Z7:Z48))+1))),ROW()-ROW(A$52)+1)),",",";"),",",INDEX(AC7:AC48,SMALL(IF(ISNUMBER(Z7:Z48),IF(Z7:Z48&gt;0,IF(AC7:AC48&lt;&gt;"",ROW(Z7:Z48)-MIN(ROW(Z7:Z48))+1))),ROW()-ROW(A$52)+1))),"")</f>
        <v>0</v>
      </c>
      <c r="AE61">
        <f t="array" ref="AE61">IFERROR(CONCATENATE(INDEX(AH7:AH48,SMALL(IF(ISNUMBER(AE7:AE48),IF(AE7:AE48&gt;0,IF(AH7:AH48&lt;&gt;"",ROW(AE7:AE48)-MIN(ROW(AE7:AE48))+1))),ROW()-ROW(A$51)+1)),"|",TEXT(INDEX(AE7:AE48,SMALL(IF(ISNUMBER(AE7:AE48),IF(AE7:AE48&gt;0,IF(AH7:AH48&lt;&gt;"",ROW(AE7:AE48)-MIN(ROW(AE7:AE48))+1))),ROW()-ROW(A$51)+1)),"##0"),"|",SUBSTITUTE(SUBSTITUTE(INDEX(IF(PURCHASE_DESCRIPTION&lt;&gt;"",PURCHASE_DESCRIPTION&amp;":","")&amp;A7:A48,SMALL(IF(ISNUMBER(AE7:AE48),IF(AE7:AE48&gt;0,IF(AH7:AH48&lt;&gt;"",ROW(AE7:AE48)-MIN(ROW(AE7:AE48))+1))),ROW()-ROW(A$51)+1)),"|",";")," ","_")),"")</f>
        <v>0</v>
      </c>
      <c r="AJ61">
        <f t="array" ref="AJ61">IFERROR(CONCATENATE(INDEX(AM7:AM48,SMALL(IF(ISNUMBER(AJ7:AJ48),IF(AJ7:AJ48&gt;0,IF(AM7:AM48&lt;&gt;"",ROW(AJ7:AJ48)-MIN(ROW(AJ7:AJ48))+1))),ROW()-ROW(A$51)+1)),",",TEXT(INDEX(AJ7:AJ48,SMALL(IF(ISNUMBER(AJ7:AJ48),IF(AJ7:AJ48&gt;0,IF(AM7:AM48&lt;&gt;"",ROW(AJ7:AJ48)-MIN(ROW(AJ7:AJ48))+1))),ROW()-ROW(A$51)+1)),"##0"),",",SUBSTITUTE(INDEX(IF(PURCHASE_DESCRIPTION&lt;&gt;"",PURCHASE_DESCRIPTION&amp;":","")&amp;A7:A48,SMALL(IF(ISNUMBER(AJ7:AJ48),IF(AJ7:AJ48&gt;0,IF(AM7:AM48&lt;&gt;"",ROW(AJ7:AJ48)-MIN(ROW(AJ7:AJ48))+1))),ROW()-ROW(A$51)+1)),",",";")),"")</f>
        <v>0</v>
      </c>
      <c r="AO61">
        <f t="array" ref="AO61">IFERROR(CONCATENATE(INDEX(AR7:AR48,SMALL(IF(ISNUMBER(AO7:AO48),IF(AO7:AO48&gt;0,IF(AR7:AR48&lt;&gt;"",ROW(AO7:AO48)-MIN(ROW(AO7:AO48))+1))),ROW()-ROW(A$51)+1))," ",TEXT(INDEX(AO7:AO48,SMALL(IF(ISNUMBER(AO7:AO48),IF(AO7:AO48&gt;0,IF(AR7:AR48&lt;&gt;"",ROW(AO7:AO48)-MIN(ROW(AO7:AO48))+1))),ROW()-ROW(A$51)+1)),"##0")," ",SUBSTITUTE(INDEX(IF(PURCHASE_DESCRIPTION&lt;&gt;"",PURCHASE_DESCRIPTION&amp;":","")&amp;A7:A48,SMALL(IF(ISNUMBER(AO7:AO48),IF(AO7:AO48&gt;0,IF(AR7:AR48&lt;&gt;"",ROW(AO7:AO48)-MIN(ROW(AO7:AO48))+1))),ROW()-ROW(A$51)+1))," ",";")),"")</f>
        <v>0</v>
      </c>
      <c r="AT61">
        <f t="array" ref="AT61">IFERROR(CONCATENATE(INDEX(AW7:AW48,SMALL(IF(ISNUMBER(AT7:AT48),IF(AT7:AT48&gt;0,IF(AW7:AW48&lt;&gt;"",ROW(AT7:AT48)-MIN(ROW(AT7:AT48))+1))),ROW()-ROW(A$51)+1))," ",TEXT(INDEX(AT7:AT48,SMALL(IF(ISNUMBER(AT7:AT48),IF(AT7:AT48&gt;0,IF(AW7:AW48&lt;&gt;"",ROW(AT7:AT48)-MIN(ROW(AT7:AT48))+1))),ROW()-ROW(A$51)+1)),"##0")," ",SUBSTITUTE(INDEX(IF(PURCHASE_DESCRIPTION&lt;&gt;"",PURCHASE_DESCRIPTION&amp;":","")&amp;A7:A48,SMALL(IF(ISNUMBER(AT7:AT48),IF(AT7:AT48&gt;0,IF(AW7:AW48&lt;&gt;"",ROW(AT7:AT48)-MIN(ROW(AT7:AT48))+1))),ROW()-ROW(A$51)+1))," ",";")),"")</f>
        <v>0</v>
      </c>
    </row>
    <row r="62" spans="1:48">
      <c r="K62">
        <f t="array" ref="K62">IFERROR(CONCATENATE(INDEX(N7:N48,SMALL(IF(ISNUMBER(K7:K48),IF(K7:K48&gt;0,IF(N7:N48&lt;&gt;"",ROW(K7:K48)-MIN(ROW(K7:K48))+1))),ROW()-ROW(A$51)+1)),",",TEXT(INDEX(K7:K48,SMALL(IF(ISNUMBER(K7:K48),IF(K7:K48&gt;0,IF(N7:N48&lt;&gt;"",ROW(K7:K48)-MIN(ROW(K7:K48))+1))),ROW()-ROW(A$51)+1)),"##0"),",",SUBSTITUTE(INDEX(IF(PURCHASE_DESCRIPTION&lt;&gt;"",PURCHASE_DESCRIPTION&amp;":","")&amp;A7:A48,SMALL(IF(ISNUMBER(K7:K48),IF(K7:K48&gt;0,IF(N7:N48&lt;&gt;"",ROW(K7:K48)-MIN(ROW(K7:K48))+1))),ROW()-ROW(A$51)+1)),",",";")),"")</f>
        <v>0</v>
      </c>
      <c r="P62">
        <f t="array" ref="P62">IFERROR(CONCATENATE(TEXT(INDEX(P7:P48,SMALL(IF(ISNUMBER(P7:P48),IF(P7:P48&gt;0,IF(S7:S48&lt;&gt;"",ROW(P7:P48)-MIN(ROW(P7:P48))+1))),ROW()-ROW(A$51)+1)),"##0"),",",INDEX(S7:S48,SMALL(IF(ISNUMBER(P7:P48),IF(P7:P48&gt;0,IF(S7:S48&lt;&gt;"",ROW(P7:P48)-MIN(ROW(P7:P48))+1))),ROW()-ROW(A$51)+1)),",",SUBSTITUTE(INDEX(IF(PURCHASE_DESCRIPTION&lt;&gt;"",PURCHASE_DESCRIPTION&amp;":","")&amp;A7:A48,SMALL(IF(ISNUMBER(P7:P48),IF(P7:P48&gt;0,IF(S7:S48&lt;&gt;"",ROW(P7:P48)-MIN(ROW(P7:P48))+1))),ROW()-ROW(A$51)+1)),",",";")),"")</f>
        <v>0</v>
      </c>
      <c r="U62">
        <f t="array" ref="U62">IFERROR(CONCATENATE(INDEX(X7:X48,SMALL(IF(ISNUMBER(U7:U48),IF(U7:U48&gt;0,IF(X7:X48&lt;&gt;"",ROW(U7:U48)-MIN(ROW(U7:U48))+1))),ROW()-ROW(A$51)+1))," ",TEXT(INDEX(U7:U48,SMALL(IF(ISNUMBER(U7:U48),IF(U7:U48&gt;0,IF(X7:X48&lt;&gt;"",ROW(U7:U48)-MIN(ROW(U7:U48))+1))),ROW()-ROW(A$51)+1)),"##0")," ",SUBSTITUTE(INDEX(IF(PURCHASE_DESCRIPTION&lt;&gt;"",PURCHASE_DESCRIPTION&amp;":","")&amp;A7:A48,SMALL(IF(ISNUMBER(U7:U48),IF(U7:U48&gt;0,IF(X7:X48&lt;&gt;"",ROW(U7:U48)-MIN(ROW(U7:U48))+1))),ROW()-ROW(A$51)+1))," ",";")),"")</f>
        <v>0</v>
      </c>
      <c r="Z62">
        <f t="array" ref="Z62">IFERROR(CONCATENATE(TEXT(INDEX(Z7:Z48,SMALL(IF(ISNUMBER(Z7:Z48),IF(Z7:Z48&gt;0,IF(AC7:AC48&lt;&gt;"",ROW(Z7:Z48)-MIN(ROW(Z7:Z48))+1))),ROW()-ROW(A$52)+1)),"##0"),",",SUBSTITUTE(INDEX(IF(PURCHASE_DESCRIPTION&lt;&gt;"",PURCHASE_DESCRIPTION&amp;":","")&amp;A7:A48,SMALL(IF(ISNUMBER(Z7:Z48),IF(Z7:Z48&gt;0,IF(AC7:AC48&lt;&gt;"",ROW(Z7:Z48)-MIN(ROW(Z7:Z48))+1))),ROW()-ROW(A$52)+1)),",",";"),",",SUBSTITUTE(INDEX(IF(PURCHASE_DESCRIPTION&lt;&gt;"",PURCHASE_DESCRIPTION&amp;":","")&amp;D7:D48,SMALL(IF(ISNUMBER(Z7:Z48),IF(Z7:Z48&gt;0,IF(AC7:AC48&lt;&gt;"",ROW(Z7:Z48)-MIN(ROW(Z7:Z48))+1))),ROW()-ROW(A$52)+1)),",",";"),",",INDEX(AC7:AC48,SMALL(IF(ISNUMBER(Z7:Z48),IF(Z7:Z48&gt;0,IF(AC7:AC48&lt;&gt;"",ROW(Z7:Z48)-MIN(ROW(Z7:Z48))+1))),ROW()-ROW(A$52)+1))),"")</f>
        <v>0</v>
      </c>
      <c r="AE62">
        <f t="array" ref="AE62">IFERROR(CONCATENATE(INDEX(AH7:AH48,SMALL(IF(ISNUMBER(AE7:AE48),IF(AE7:AE48&gt;0,IF(AH7:AH48&lt;&gt;"",ROW(AE7:AE48)-MIN(ROW(AE7:AE48))+1))),ROW()-ROW(A$51)+1)),"|",TEXT(INDEX(AE7:AE48,SMALL(IF(ISNUMBER(AE7:AE48),IF(AE7:AE48&gt;0,IF(AH7:AH48&lt;&gt;"",ROW(AE7:AE48)-MIN(ROW(AE7:AE48))+1))),ROW()-ROW(A$51)+1)),"##0"),"|",SUBSTITUTE(SUBSTITUTE(INDEX(IF(PURCHASE_DESCRIPTION&lt;&gt;"",PURCHASE_DESCRIPTION&amp;":","")&amp;A7:A48,SMALL(IF(ISNUMBER(AE7:AE48),IF(AE7:AE48&gt;0,IF(AH7:AH48&lt;&gt;"",ROW(AE7:AE48)-MIN(ROW(AE7:AE48))+1))),ROW()-ROW(A$51)+1)),"|",";")," ","_")),"")</f>
        <v>0</v>
      </c>
      <c r="AJ62">
        <f t="array" ref="AJ62">IFERROR(CONCATENATE(INDEX(AM7:AM48,SMALL(IF(ISNUMBER(AJ7:AJ48),IF(AJ7:AJ48&gt;0,IF(AM7:AM48&lt;&gt;"",ROW(AJ7:AJ48)-MIN(ROW(AJ7:AJ48))+1))),ROW()-ROW(A$51)+1)),",",TEXT(INDEX(AJ7:AJ48,SMALL(IF(ISNUMBER(AJ7:AJ48),IF(AJ7:AJ48&gt;0,IF(AM7:AM48&lt;&gt;"",ROW(AJ7:AJ48)-MIN(ROW(AJ7:AJ48))+1))),ROW()-ROW(A$51)+1)),"##0"),",",SUBSTITUTE(INDEX(IF(PURCHASE_DESCRIPTION&lt;&gt;"",PURCHASE_DESCRIPTION&amp;":","")&amp;A7:A48,SMALL(IF(ISNUMBER(AJ7:AJ48),IF(AJ7:AJ48&gt;0,IF(AM7:AM48&lt;&gt;"",ROW(AJ7:AJ48)-MIN(ROW(AJ7:AJ48))+1))),ROW()-ROW(A$51)+1)),",",";")),"")</f>
        <v>0</v>
      </c>
      <c r="AO62">
        <f t="array" ref="AO62">IFERROR(CONCATENATE(INDEX(AR7:AR48,SMALL(IF(ISNUMBER(AO7:AO48),IF(AO7:AO48&gt;0,IF(AR7:AR48&lt;&gt;"",ROW(AO7:AO48)-MIN(ROW(AO7:AO48))+1))),ROW()-ROW(A$51)+1))," ",TEXT(INDEX(AO7:AO48,SMALL(IF(ISNUMBER(AO7:AO48),IF(AO7:AO48&gt;0,IF(AR7:AR48&lt;&gt;"",ROW(AO7:AO48)-MIN(ROW(AO7:AO48))+1))),ROW()-ROW(A$51)+1)),"##0")," ",SUBSTITUTE(INDEX(IF(PURCHASE_DESCRIPTION&lt;&gt;"",PURCHASE_DESCRIPTION&amp;":","")&amp;A7:A48,SMALL(IF(ISNUMBER(AO7:AO48),IF(AO7:AO48&gt;0,IF(AR7:AR48&lt;&gt;"",ROW(AO7:AO48)-MIN(ROW(AO7:AO48))+1))),ROW()-ROW(A$51)+1))," ",";")),"")</f>
        <v>0</v>
      </c>
      <c r="AT62">
        <f t="array" ref="AT62">IFERROR(CONCATENATE(INDEX(AW7:AW48,SMALL(IF(ISNUMBER(AT7:AT48),IF(AT7:AT48&gt;0,IF(AW7:AW48&lt;&gt;"",ROW(AT7:AT48)-MIN(ROW(AT7:AT48))+1))),ROW()-ROW(A$51)+1))," ",TEXT(INDEX(AT7:AT48,SMALL(IF(ISNUMBER(AT7:AT48),IF(AT7:AT48&gt;0,IF(AW7:AW48&lt;&gt;"",ROW(AT7:AT48)-MIN(ROW(AT7:AT48))+1))),ROW()-ROW(A$51)+1)),"##0")," ",SUBSTITUTE(INDEX(IF(PURCHASE_DESCRIPTION&lt;&gt;"",PURCHASE_DESCRIPTION&amp;":","")&amp;A7:A48,SMALL(IF(ISNUMBER(AT7:AT48),IF(AT7:AT48&gt;0,IF(AW7:AW48&lt;&gt;"",ROW(AT7:AT48)-MIN(ROW(AT7:AT48))+1))),ROW()-ROW(A$51)+1))," ",";")),"")</f>
        <v>0</v>
      </c>
    </row>
    <row r="63" spans="1:48">
      <c r="K63">
        <f t="array" ref="K63">IFERROR(CONCATENATE(INDEX(N7:N48,SMALL(IF(ISNUMBER(K7:K48),IF(K7:K48&gt;0,IF(N7:N48&lt;&gt;"",ROW(K7:K48)-MIN(ROW(K7:K48))+1))),ROW()-ROW(A$51)+1)),",",TEXT(INDEX(K7:K48,SMALL(IF(ISNUMBER(K7:K48),IF(K7:K48&gt;0,IF(N7:N48&lt;&gt;"",ROW(K7:K48)-MIN(ROW(K7:K48))+1))),ROW()-ROW(A$51)+1)),"##0"),",",SUBSTITUTE(INDEX(IF(PURCHASE_DESCRIPTION&lt;&gt;"",PURCHASE_DESCRIPTION&amp;":","")&amp;A7:A48,SMALL(IF(ISNUMBER(K7:K48),IF(K7:K48&gt;0,IF(N7:N48&lt;&gt;"",ROW(K7:K48)-MIN(ROW(K7:K48))+1))),ROW()-ROW(A$51)+1)),",",";")),"")</f>
        <v>0</v>
      </c>
      <c r="P63">
        <f t="array" ref="P63">IFERROR(CONCATENATE(TEXT(INDEX(P7:P48,SMALL(IF(ISNUMBER(P7:P48),IF(P7:P48&gt;0,IF(S7:S48&lt;&gt;"",ROW(P7:P48)-MIN(ROW(P7:P48))+1))),ROW()-ROW(A$51)+1)),"##0"),",",INDEX(S7:S48,SMALL(IF(ISNUMBER(P7:P48),IF(P7:P48&gt;0,IF(S7:S48&lt;&gt;"",ROW(P7:P48)-MIN(ROW(P7:P48))+1))),ROW()-ROW(A$51)+1)),",",SUBSTITUTE(INDEX(IF(PURCHASE_DESCRIPTION&lt;&gt;"",PURCHASE_DESCRIPTION&amp;":","")&amp;A7:A48,SMALL(IF(ISNUMBER(P7:P48),IF(P7:P48&gt;0,IF(S7:S48&lt;&gt;"",ROW(P7:P48)-MIN(ROW(P7:P48))+1))),ROW()-ROW(A$51)+1)),",",";")),"")</f>
        <v>0</v>
      </c>
      <c r="U63">
        <f t="array" ref="U63">IFERROR(CONCATENATE(INDEX(X7:X48,SMALL(IF(ISNUMBER(U7:U48),IF(U7:U48&gt;0,IF(X7:X48&lt;&gt;"",ROW(U7:U48)-MIN(ROW(U7:U48))+1))),ROW()-ROW(A$51)+1))," ",TEXT(INDEX(U7:U48,SMALL(IF(ISNUMBER(U7:U48),IF(U7:U48&gt;0,IF(X7:X48&lt;&gt;"",ROW(U7:U48)-MIN(ROW(U7:U48))+1))),ROW()-ROW(A$51)+1)),"##0")," ",SUBSTITUTE(INDEX(IF(PURCHASE_DESCRIPTION&lt;&gt;"",PURCHASE_DESCRIPTION&amp;":","")&amp;A7:A48,SMALL(IF(ISNUMBER(U7:U48),IF(U7:U48&gt;0,IF(X7:X48&lt;&gt;"",ROW(U7:U48)-MIN(ROW(U7:U48))+1))),ROW()-ROW(A$51)+1))," ",";")),"")</f>
        <v>0</v>
      </c>
      <c r="Z63">
        <f t="array" ref="Z63">IFERROR(CONCATENATE(TEXT(INDEX(Z7:Z48,SMALL(IF(ISNUMBER(Z7:Z48),IF(Z7:Z48&gt;0,IF(AC7:AC48&lt;&gt;"",ROW(Z7:Z48)-MIN(ROW(Z7:Z48))+1))),ROW()-ROW(A$52)+1)),"##0"),",",SUBSTITUTE(INDEX(IF(PURCHASE_DESCRIPTION&lt;&gt;"",PURCHASE_DESCRIPTION&amp;":","")&amp;A7:A48,SMALL(IF(ISNUMBER(Z7:Z48),IF(Z7:Z48&gt;0,IF(AC7:AC48&lt;&gt;"",ROW(Z7:Z48)-MIN(ROW(Z7:Z48))+1))),ROW()-ROW(A$52)+1)),",",";"),",",SUBSTITUTE(INDEX(IF(PURCHASE_DESCRIPTION&lt;&gt;"",PURCHASE_DESCRIPTION&amp;":","")&amp;D7:D48,SMALL(IF(ISNUMBER(Z7:Z48),IF(Z7:Z48&gt;0,IF(AC7:AC48&lt;&gt;"",ROW(Z7:Z48)-MIN(ROW(Z7:Z48))+1))),ROW()-ROW(A$52)+1)),",",";"),",",INDEX(AC7:AC48,SMALL(IF(ISNUMBER(Z7:Z48),IF(Z7:Z48&gt;0,IF(AC7:AC48&lt;&gt;"",ROW(Z7:Z48)-MIN(ROW(Z7:Z48))+1))),ROW()-ROW(A$52)+1))),"")</f>
        <v>0</v>
      </c>
      <c r="AE63">
        <f t="array" ref="AE63">IFERROR(CONCATENATE(INDEX(AH7:AH48,SMALL(IF(ISNUMBER(AE7:AE48),IF(AE7:AE48&gt;0,IF(AH7:AH48&lt;&gt;"",ROW(AE7:AE48)-MIN(ROW(AE7:AE48))+1))),ROW()-ROW(A$51)+1)),"|",TEXT(INDEX(AE7:AE48,SMALL(IF(ISNUMBER(AE7:AE48),IF(AE7:AE48&gt;0,IF(AH7:AH48&lt;&gt;"",ROW(AE7:AE48)-MIN(ROW(AE7:AE48))+1))),ROW()-ROW(A$51)+1)),"##0"),"|",SUBSTITUTE(SUBSTITUTE(INDEX(IF(PURCHASE_DESCRIPTION&lt;&gt;"",PURCHASE_DESCRIPTION&amp;":","")&amp;A7:A48,SMALL(IF(ISNUMBER(AE7:AE48),IF(AE7:AE48&gt;0,IF(AH7:AH48&lt;&gt;"",ROW(AE7:AE48)-MIN(ROW(AE7:AE48))+1))),ROW()-ROW(A$51)+1)),"|",";")," ","_")),"")</f>
        <v>0</v>
      </c>
      <c r="AJ63">
        <f t="array" ref="AJ63">IFERROR(CONCATENATE(INDEX(AM7:AM48,SMALL(IF(ISNUMBER(AJ7:AJ48),IF(AJ7:AJ48&gt;0,IF(AM7:AM48&lt;&gt;"",ROW(AJ7:AJ48)-MIN(ROW(AJ7:AJ48))+1))),ROW()-ROW(A$51)+1)),",",TEXT(INDEX(AJ7:AJ48,SMALL(IF(ISNUMBER(AJ7:AJ48),IF(AJ7:AJ48&gt;0,IF(AM7:AM48&lt;&gt;"",ROW(AJ7:AJ48)-MIN(ROW(AJ7:AJ48))+1))),ROW()-ROW(A$51)+1)),"##0"),",",SUBSTITUTE(INDEX(IF(PURCHASE_DESCRIPTION&lt;&gt;"",PURCHASE_DESCRIPTION&amp;":","")&amp;A7:A48,SMALL(IF(ISNUMBER(AJ7:AJ48),IF(AJ7:AJ48&gt;0,IF(AM7:AM48&lt;&gt;"",ROW(AJ7:AJ48)-MIN(ROW(AJ7:AJ48))+1))),ROW()-ROW(A$51)+1)),",",";")),"")</f>
        <v>0</v>
      </c>
      <c r="AO63">
        <f t="array" ref="AO63">IFERROR(CONCATENATE(INDEX(AR7:AR48,SMALL(IF(ISNUMBER(AO7:AO48),IF(AO7:AO48&gt;0,IF(AR7:AR48&lt;&gt;"",ROW(AO7:AO48)-MIN(ROW(AO7:AO48))+1))),ROW()-ROW(A$51)+1))," ",TEXT(INDEX(AO7:AO48,SMALL(IF(ISNUMBER(AO7:AO48),IF(AO7:AO48&gt;0,IF(AR7:AR48&lt;&gt;"",ROW(AO7:AO48)-MIN(ROW(AO7:AO48))+1))),ROW()-ROW(A$51)+1)),"##0")," ",SUBSTITUTE(INDEX(IF(PURCHASE_DESCRIPTION&lt;&gt;"",PURCHASE_DESCRIPTION&amp;":","")&amp;A7:A48,SMALL(IF(ISNUMBER(AO7:AO48),IF(AO7:AO48&gt;0,IF(AR7:AR48&lt;&gt;"",ROW(AO7:AO48)-MIN(ROW(AO7:AO48))+1))),ROW()-ROW(A$51)+1))," ",";")),"")</f>
        <v>0</v>
      </c>
      <c r="AT63">
        <f t="array" ref="AT63">IFERROR(CONCATENATE(INDEX(AW7:AW48,SMALL(IF(ISNUMBER(AT7:AT48),IF(AT7:AT48&gt;0,IF(AW7:AW48&lt;&gt;"",ROW(AT7:AT48)-MIN(ROW(AT7:AT48))+1))),ROW()-ROW(A$51)+1))," ",TEXT(INDEX(AT7:AT48,SMALL(IF(ISNUMBER(AT7:AT48),IF(AT7:AT48&gt;0,IF(AW7:AW48&lt;&gt;"",ROW(AT7:AT48)-MIN(ROW(AT7:AT48))+1))),ROW()-ROW(A$51)+1)),"##0")," ",SUBSTITUTE(INDEX(IF(PURCHASE_DESCRIPTION&lt;&gt;"",PURCHASE_DESCRIPTION&amp;":","")&amp;A7:A48,SMALL(IF(ISNUMBER(AT7:AT48),IF(AT7:AT48&gt;0,IF(AW7:AW48&lt;&gt;"",ROW(AT7:AT48)-MIN(ROW(AT7:AT48))+1))),ROW()-ROW(A$51)+1))," ",";")),"")</f>
        <v>0</v>
      </c>
    </row>
    <row r="64" spans="1:48">
      <c r="K64">
        <f t="array" ref="K64">IFERROR(CONCATENATE(INDEX(N7:N48,SMALL(IF(ISNUMBER(K7:K48),IF(K7:K48&gt;0,IF(N7:N48&lt;&gt;"",ROW(K7:K48)-MIN(ROW(K7:K48))+1))),ROW()-ROW(A$51)+1)),",",TEXT(INDEX(K7:K48,SMALL(IF(ISNUMBER(K7:K48),IF(K7:K48&gt;0,IF(N7:N48&lt;&gt;"",ROW(K7:K48)-MIN(ROW(K7:K48))+1))),ROW()-ROW(A$51)+1)),"##0"),",",SUBSTITUTE(INDEX(IF(PURCHASE_DESCRIPTION&lt;&gt;"",PURCHASE_DESCRIPTION&amp;":","")&amp;A7:A48,SMALL(IF(ISNUMBER(K7:K48),IF(K7:K48&gt;0,IF(N7:N48&lt;&gt;"",ROW(K7:K48)-MIN(ROW(K7:K48))+1))),ROW()-ROW(A$51)+1)),",",";")),"")</f>
        <v>0</v>
      </c>
      <c r="P64">
        <f t="array" ref="P64">IFERROR(CONCATENATE(TEXT(INDEX(P7:P48,SMALL(IF(ISNUMBER(P7:P48),IF(P7:P48&gt;0,IF(S7:S48&lt;&gt;"",ROW(P7:P48)-MIN(ROW(P7:P48))+1))),ROW()-ROW(A$51)+1)),"##0"),",",INDEX(S7:S48,SMALL(IF(ISNUMBER(P7:P48),IF(P7:P48&gt;0,IF(S7:S48&lt;&gt;"",ROW(P7:P48)-MIN(ROW(P7:P48))+1))),ROW()-ROW(A$51)+1)),",",SUBSTITUTE(INDEX(IF(PURCHASE_DESCRIPTION&lt;&gt;"",PURCHASE_DESCRIPTION&amp;":","")&amp;A7:A48,SMALL(IF(ISNUMBER(P7:P48),IF(P7:P48&gt;0,IF(S7:S48&lt;&gt;"",ROW(P7:P48)-MIN(ROW(P7:P48))+1))),ROW()-ROW(A$51)+1)),",",";")),"")</f>
        <v>0</v>
      </c>
      <c r="U64">
        <f t="array" ref="U64">IFERROR(CONCATENATE(INDEX(X7:X48,SMALL(IF(ISNUMBER(U7:U48),IF(U7:U48&gt;0,IF(X7:X48&lt;&gt;"",ROW(U7:U48)-MIN(ROW(U7:U48))+1))),ROW()-ROW(A$51)+1))," ",TEXT(INDEX(U7:U48,SMALL(IF(ISNUMBER(U7:U48),IF(U7:U48&gt;0,IF(X7:X48&lt;&gt;"",ROW(U7:U48)-MIN(ROW(U7:U48))+1))),ROW()-ROW(A$51)+1)),"##0")," ",SUBSTITUTE(INDEX(IF(PURCHASE_DESCRIPTION&lt;&gt;"",PURCHASE_DESCRIPTION&amp;":","")&amp;A7:A48,SMALL(IF(ISNUMBER(U7:U48),IF(U7:U48&gt;0,IF(X7:X48&lt;&gt;"",ROW(U7:U48)-MIN(ROW(U7:U48))+1))),ROW()-ROW(A$51)+1))," ",";")),"")</f>
        <v>0</v>
      </c>
      <c r="Z64">
        <f t="array" ref="Z64">IFERROR(CONCATENATE(TEXT(INDEX(Z7:Z48,SMALL(IF(ISNUMBER(Z7:Z48),IF(Z7:Z48&gt;0,IF(AC7:AC48&lt;&gt;"",ROW(Z7:Z48)-MIN(ROW(Z7:Z48))+1))),ROW()-ROW(A$52)+1)),"##0"),",",SUBSTITUTE(INDEX(IF(PURCHASE_DESCRIPTION&lt;&gt;"",PURCHASE_DESCRIPTION&amp;":","")&amp;A7:A48,SMALL(IF(ISNUMBER(Z7:Z48),IF(Z7:Z48&gt;0,IF(AC7:AC48&lt;&gt;"",ROW(Z7:Z48)-MIN(ROW(Z7:Z48))+1))),ROW()-ROW(A$52)+1)),",",";"),",",SUBSTITUTE(INDEX(IF(PURCHASE_DESCRIPTION&lt;&gt;"",PURCHASE_DESCRIPTION&amp;":","")&amp;D7:D48,SMALL(IF(ISNUMBER(Z7:Z48),IF(Z7:Z48&gt;0,IF(AC7:AC48&lt;&gt;"",ROW(Z7:Z48)-MIN(ROW(Z7:Z48))+1))),ROW()-ROW(A$52)+1)),",",";"),",",INDEX(AC7:AC48,SMALL(IF(ISNUMBER(Z7:Z48),IF(Z7:Z48&gt;0,IF(AC7:AC48&lt;&gt;"",ROW(Z7:Z48)-MIN(ROW(Z7:Z48))+1))),ROW()-ROW(A$52)+1))),"")</f>
        <v>0</v>
      </c>
      <c r="AE64">
        <f t="array" ref="AE64">IFERROR(CONCATENATE(INDEX(AH7:AH48,SMALL(IF(ISNUMBER(AE7:AE48),IF(AE7:AE48&gt;0,IF(AH7:AH48&lt;&gt;"",ROW(AE7:AE48)-MIN(ROW(AE7:AE48))+1))),ROW()-ROW(A$51)+1)),"|",TEXT(INDEX(AE7:AE48,SMALL(IF(ISNUMBER(AE7:AE48),IF(AE7:AE48&gt;0,IF(AH7:AH48&lt;&gt;"",ROW(AE7:AE48)-MIN(ROW(AE7:AE48))+1))),ROW()-ROW(A$51)+1)),"##0"),"|",SUBSTITUTE(SUBSTITUTE(INDEX(IF(PURCHASE_DESCRIPTION&lt;&gt;"",PURCHASE_DESCRIPTION&amp;":","")&amp;A7:A48,SMALL(IF(ISNUMBER(AE7:AE48),IF(AE7:AE48&gt;0,IF(AH7:AH48&lt;&gt;"",ROW(AE7:AE48)-MIN(ROW(AE7:AE48))+1))),ROW()-ROW(A$51)+1)),"|",";")," ","_")),"")</f>
        <v>0</v>
      </c>
      <c r="AJ64">
        <f t="array" ref="AJ64">IFERROR(CONCATENATE(INDEX(AM7:AM48,SMALL(IF(ISNUMBER(AJ7:AJ48),IF(AJ7:AJ48&gt;0,IF(AM7:AM48&lt;&gt;"",ROW(AJ7:AJ48)-MIN(ROW(AJ7:AJ48))+1))),ROW()-ROW(A$51)+1)),",",TEXT(INDEX(AJ7:AJ48,SMALL(IF(ISNUMBER(AJ7:AJ48),IF(AJ7:AJ48&gt;0,IF(AM7:AM48&lt;&gt;"",ROW(AJ7:AJ48)-MIN(ROW(AJ7:AJ48))+1))),ROW()-ROW(A$51)+1)),"##0"),",",SUBSTITUTE(INDEX(IF(PURCHASE_DESCRIPTION&lt;&gt;"",PURCHASE_DESCRIPTION&amp;":","")&amp;A7:A48,SMALL(IF(ISNUMBER(AJ7:AJ48),IF(AJ7:AJ48&gt;0,IF(AM7:AM48&lt;&gt;"",ROW(AJ7:AJ48)-MIN(ROW(AJ7:AJ48))+1))),ROW()-ROW(A$51)+1)),",",";")),"")</f>
        <v>0</v>
      </c>
      <c r="AO64">
        <f t="array" ref="AO64">IFERROR(CONCATENATE(INDEX(AR7:AR48,SMALL(IF(ISNUMBER(AO7:AO48),IF(AO7:AO48&gt;0,IF(AR7:AR48&lt;&gt;"",ROW(AO7:AO48)-MIN(ROW(AO7:AO48))+1))),ROW()-ROW(A$51)+1))," ",TEXT(INDEX(AO7:AO48,SMALL(IF(ISNUMBER(AO7:AO48),IF(AO7:AO48&gt;0,IF(AR7:AR48&lt;&gt;"",ROW(AO7:AO48)-MIN(ROW(AO7:AO48))+1))),ROW()-ROW(A$51)+1)),"##0")," ",SUBSTITUTE(INDEX(IF(PURCHASE_DESCRIPTION&lt;&gt;"",PURCHASE_DESCRIPTION&amp;":","")&amp;A7:A48,SMALL(IF(ISNUMBER(AO7:AO48),IF(AO7:AO48&gt;0,IF(AR7:AR48&lt;&gt;"",ROW(AO7:AO48)-MIN(ROW(AO7:AO48))+1))),ROW()-ROW(A$51)+1))," ",";")),"")</f>
        <v>0</v>
      </c>
      <c r="AT64">
        <f t="array" ref="AT64">IFERROR(CONCATENATE(INDEX(AW7:AW48,SMALL(IF(ISNUMBER(AT7:AT48),IF(AT7:AT48&gt;0,IF(AW7:AW48&lt;&gt;"",ROW(AT7:AT48)-MIN(ROW(AT7:AT48))+1))),ROW()-ROW(A$51)+1))," ",TEXT(INDEX(AT7:AT48,SMALL(IF(ISNUMBER(AT7:AT48),IF(AT7:AT48&gt;0,IF(AW7:AW48&lt;&gt;"",ROW(AT7:AT48)-MIN(ROW(AT7:AT48))+1))),ROW()-ROW(A$51)+1)),"##0")," ",SUBSTITUTE(INDEX(IF(PURCHASE_DESCRIPTION&lt;&gt;"",PURCHASE_DESCRIPTION&amp;":","")&amp;A7:A48,SMALL(IF(ISNUMBER(AT7:AT48),IF(AT7:AT48&gt;0,IF(AW7:AW48&lt;&gt;"",ROW(AT7:AT48)-MIN(ROW(AT7:AT48))+1))),ROW()-ROW(A$51)+1))," ",";")),"")</f>
        <v>0</v>
      </c>
    </row>
    <row r="65" spans="11:46">
      <c r="K65">
        <f t="array" ref="K65">IFERROR(CONCATENATE(INDEX(N7:N48,SMALL(IF(ISNUMBER(K7:K48),IF(K7:K48&gt;0,IF(N7:N48&lt;&gt;"",ROW(K7:K48)-MIN(ROW(K7:K48))+1))),ROW()-ROW(A$51)+1)),",",TEXT(INDEX(K7:K48,SMALL(IF(ISNUMBER(K7:K48),IF(K7:K48&gt;0,IF(N7:N48&lt;&gt;"",ROW(K7:K48)-MIN(ROW(K7:K48))+1))),ROW()-ROW(A$51)+1)),"##0"),",",SUBSTITUTE(INDEX(IF(PURCHASE_DESCRIPTION&lt;&gt;"",PURCHASE_DESCRIPTION&amp;":","")&amp;A7:A48,SMALL(IF(ISNUMBER(K7:K48),IF(K7:K48&gt;0,IF(N7:N48&lt;&gt;"",ROW(K7:K48)-MIN(ROW(K7:K48))+1))),ROW()-ROW(A$51)+1)),",",";")),"")</f>
        <v>0</v>
      </c>
      <c r="P65">
        <f t="array" ref="P65">IFERROR(CONCATENATE(TEXT(INDEX(P7:P48,SMALL(IF(ISNUMBER(P7:P48),IF(P7:P48&gt;0,IF(S7:S48&lt;&gt;"",ROW(P7:P48)-MIN(ROW(P7:P48))+1))),ROW()-ROW(A$51)+1)),"##0"),",",INDEX(S7:S48,SMALL(IF(ISNUMBER(P7:P48),IF(P7:P48&gt;0,IF(S7:S48&lt;&gt;"",ROW(P7:P48)-MIN(ROW(P7:P48))+1))),ROW()-ROW(A$51)+1)),",",SUBSTITUTE(INDEX(IF(PURCHASE_DESCRIPTION&lt;&gt;"",PURCHASE_DESCRIPTION&amp;":","")&amp;A7:A48,SMALL(IF(ISNUMBER(P7:P48),IF(P7:P48&gt;0,IF(S7:S48&lt;&gt;"",ROW(P7:P48)-MIN(ROW(P7:P48))+1))),ROW()-ROW(A$51)+1)),",",";")),"")</f>
        <v>0</v>
      </c>
      <c r="U65">
        <f t="array" ref="U65">IFERROR(CONCATENATE(INDEX(X7:X48,SMALL(IF(ISNUMBER(U7:U48),IF(U7:U48&gt;0,IF(X7:X48&lt;&gt;"",ROW(U7:U48)-MIN(ROW(U7:U48))+1))),ROW()-ROW(A$51)+1))," ",TEXT(INDEX(U7:U48,SMALL(IF(ISNUMBER(U7:U48),IF(U7:U48&gt;0,IF(X7:X48&lt;&gt;"",ROW(U7:U48)-MIN(ROW(U7:U48))+1))),ROW()-ROW(A$51)+1)),"##0")," ",SUBSTITUTE(INDEX(IF(PURCHASE_DESCRIPTION&lt;&gt;"",PURCHASE_DESCRIPTION&amp;":","")&amp;A7:A48,SMALL(IF(ISNUMBER(U7:U48),IF(U7:U48&gt;0,IF(X7:X48&lt;&gt;"",ROW(U7:U48)-MIN(ROW(U7:U48))+1))),ROW()-ROW(A$51)+1))," ",";")),"")</f>
        <v>0</v>
      </c>
      <c r="Z65">
        <f t="array" ref="Z65">IFERROR(CONCATENATE(TEXT(INDEX(Z7:Z48,SMALL(IF(ISNUMBER(Z7:Z48),IF(Z7:Z48&gt;0,IF(AC7:AC48&lt;&gt;"",ROW(Z7:Z48)-MIN(ROW(Z7:Z48))+1))),ROW()-ROW(A$52)+1)),"##0"),",",SUBSTITUTE(INDEX(IF(PURCHASE_DESCRIPTION&lt;&gt;"",PURCHASE_DESCRIPTION&amp;":","")&amp;A7:A48,SMALL(IF(ISNUMBER(Z7:Z48),IF(Z7:Z48&gt;0,IF(AC7:AC48&lt;&gt;"",ROW(Z7:Z48)-MIN(ROW(Z7:Z48))+1))),ROW()-ROW(A$52)+1)),",",";"),",",SUBSTITUTE(INDEX(IF(PURCHASE_DESCRIPTION&lt;&gt;"",PURCHASE_DESCRIPTION&amp;":","")&amp;D7:D48,SMALL(IF(ISNUMBER(Z7:Z48),IF(Z7:Z48&gt;0,IF(AC7:AC48&lt;&gt;"",ROW(Z7:Z48)-MIN(ROW(Z7:Z48))+1))),ROW()-ROW(A$52)+1)),",",";"),",",INDEX(AC7:AC48,SMALL(IF(ISNUMBER(Z7:Z48),IF(Z7:Z48&gt;0,IF(AC7:AC48&lt;&gt;"",ROW(Z7:Z48)-MIN(ROW(Z7:Z48))+1))),ROW()-ROW(A$52)+1))),"")</f>
        <v>0</v>
      </c>
      <c r="AE65">
        <f t="array" ref="AE65">IFERROR(CONCATENATE(INDEX(AH7:AH48,SMALL(IF(ISNUMBER(AE7:AE48),IF(AE7:AE48&gt;0,IF(AH7:AH48&lt;&gt;"",ROW(AE7:AE48)-MIN(ROW(AE7:AE48))+1))),ROW()-ROW(A$51)+1)),"|",TEXT(INDEX(AE7:AE48,SMALL(IF(ISNUMBER(AE7:AE48),IF(AE7:AE48&gt;0,IF(AH7:AH48&lt;&gt;"",ROW(AE7:AE48)-MIN(ROW(AE7:AE48))+1))),ROW()-ROW(A$51)+1)),"##0"),"|",SUBSTITUTE(SUBSTITUTE(INDEX(IF(PURCHASE_DESCRIPTION&lt;&gt;"",PURCHASE_DESCRIPTION&amp;":","")&amp;A7:A48,SMALL(IF(ISNUMBER(AE7:AE48),IF(AE7:AE48&gt;0,IF(AH7:AH48&lt;&gt;"",ROW(AE7:AE48)-MIN(ROW(AE7:AE48))+1))),ROW()-ROW(A$51)+1)),"|",";")," ","_")),"")</f>
        <v>0</v>
      </c>
      <c r="AJ65">
        <f t="array" ref="AJ65">IFERROR(CONCATENATE(INDEX(AM7:AM48,SMALL(IF(ISNUMBER(AJ7:AJ48),IF(AJ7:AJ48&gt;0,IF(AM7:AM48&lt;&gt;"",ROW(AJ7:AJ48)-MIN(ROW(AJ7:AJ48))+1))),ROW()-ROW(A$51)+1)),",",TEXT(INDEX(AJ7:AJ48,SMALL(IF(ISNUMBER(AJ7:AJ48),IF(AJ7:AJ48&gt;0,IF(AM7:AM48&lt;&gt;"",ROW(AJ7:AJ48)-MIN(ROW(AJ7:AJ48))+1))),ROW()-ROW(A$51)+1)),"##0"),",",SUBSTITUTE(INDEX(IF(PURCHASE_DESCRIPTION&lt;&gt;"",PURCHASE_DESCRIPTION&amp;":","")&amp;A7:A48,SMALL(IF(ISNUMBER(AJ7:AJ48),IF(AJ7:AJ48&gt;0,IF(AM7:AM48&lt;&gt;"",ROW(AJ7:AJ48)-MIN(ROW(AJ7:AJ48))+1))),ROW()-ROW(A$51)+1)),",",";")),"")</f>
        <v>0</v>
      </c>
      <c r="AO65">
        <f t="array" ref="AO65">IFERROR(CONCATENATE(INDEX(AR7:AR48,SMALL(IF(ISNUMBER(AO7:AO48),IF(AO7:AO48&gt;0,IF(AR7:AR48&lt;&gt;"",ROW(AO7:AO48)-MIN(ROW(AO7:AO48))+1))),ROW()-ROW(A$51)+1))," ",TEXT(INDEX(AO7:AO48,SMALL(IF(ISNUMBER(AO7:AO48),IF(AO7:AO48&gt;0,IF(AR7:AR48&lt;&gt;"",ROW(AO7:AO48)-MIN(ROW(AO7:AO48))+1))),ROW()-ROW(A$51)+1)),"##0")," ",SUBSTITUTE(INDEX(IF(PURCHASE_DESCRIPTION&lt;&gt;"",PURCHASE_DESCRIPTION&amp;":","")&amp;A7:A48,SMALL(IF(ISNUMBER(AO7:AO48),IF(AO7:AO48&gt;0,IF(AR7:AR48&lt;&gt;"",ROW(AO7:AO48)-MIN(ROW(AO7:AO48))+1))),ROW()-ROW(A$51)+1))," ",";")),"")</f>
        <v>0</v>
      </c>
      <c r="AT65">
        <f t="array" ref="AT65">IFERROR(CONCATENATE(INDEX(AW7:AW48,SMALL(IF(ISNUMBER(AT7:AT48),IF(AT7:AT48&gt;0,IF(AW7:AW48&lt;&gt;"",ROW(AT7:AT48)-MIN(ROW(AT7:AT48))+1))),ROW()-ROW(A$51)+1))," ",TEXT(INDEX(AT7:AT48,SMALL(IF(ISNUMBER(AT7:AT48),IF(AT7:AT48&gt;0,IF(AW7:AW48&lt;&gt;"",ROW(AT7:AT48)-MIN(ROW(AT7:AT48))+1))),ROW()-ROW(A$51)+1)),"##0")," ",SUBSTITUTE(INDEX(IF(PURCHASE_DESCRIPTION&lt;&gt;"",PURCHASE_DESCRIPTION&amp;":","")&amp;A7:A48,SMALL(IF(ISNUMBER(AT7:AT48),IF(AT7:AT48&gt;0,IF(AW7:AW48&lt;&gt;"",ROW(AT7:AT48)-MIN(ROW(AT7:AT48))+1))),ROW()-ROW(A$51)+1))," ",";")),"")</f>
        <v>0</v>
      </c>
    </row>
    <row r="66" spans="11:46">
      <c r="K66">
        <f t="array" ref="K66">IFERROR(CONCATENATE(INDEX(N7:N48,SMALL(IF(ISNUMBER(K7:K48),IF(K7:K48&gt;0,IF(N7:N48&lt;&gt;"",ROW(K7:K48)-MIN(ROW(K7:K48))+1))),ROW()-ROW(A$51)+1)),",",TEXT(INDEX(K7:K48,SMALL(IF(ISNUMBER(K7:K48),IF(K7:K48&gt;0,IF(N7:N48&lt;&gt;"",ROW(K7:K48)-MIN(ROW(K7:K48))+1))),ROW()-ROW(A$51)+1)),"##0"),",",SUBSTITUTE(INDEX(IF(PURCHASE_DESCRIPTION&lt;&gt;"",PURCHASE_DESCRIPTION&amp;":","")&amp;A7:A48,SMALL(IF(ISNUMBER(K7:K48),IF(K7:K48&gt;0,IF(N7:N48&lt;&gt;"",ROW(K7:K48)-MIN(ROW(K7:K48))+1))),ROW()-ROW(A$51)+1)),",",";")),"")</f>
        <v>0</v>
      </c>
      <c r="P66">
        <f t="array" ref="P66">IFERROR(CONCATENATE(TEXT(INDEX(P7:P48,SMALL(IF(ISNUMBER(P7:P48),IF(P7:P48&gt;0,IF(S7:S48&lt;&gt;"",ROW(P7:P48)-MIN(ROW(P7:P48))+1))),ROW()-ROW(A$51)+1)),"##0"),",",INDEX(S7:S48,SMALL(IF(ISNUMBER(P7:P48),IF(P7:P48&gt;0,IF(S7:S48&lt;&gt;"",ROW(P7:P48)-MIN(ROW(P7:P48))+1))),ROW()-ROW(A$51)+1)),",",SUBSTITUTE(INDEX(IF(PURCHASE_DESCRIPTION&lt;&gt;"",PURCHASE_DESCRIPTION&amp;":","")&amp;A7:A48,SMALL(IF(ISNUMBER(P7:P48),IF(P7:P48&gt;0,IF(S7:S48&lt;&gt;"",ROW(P7:P48)-MIN(ROW(P7:P48))+1))),ROW()-ROW(A$51)+1)),",",";")),"")</f>
        <v>0</v>
      </c>
      <c r="U66">
        <f t="array" ref="U66">IFERROR(CONCATENATE(INDEX(X7:X48,SMALL(IF(ISNUMBER(U7:U48),IF(U7:U48&gt;0,IF(X7:X48&lt;&gt;"",ROW(U7:U48)-MIN(ROW(U7:U48))+1))),ROW()-ROW(A$51)+1))," ",TEXT(INDEX(U7:U48,SMALL(IF(ISNUMBER(U7:U48),IF(U7:U48&gt;0,IF(X7:X48&lt;&gt;"",ROW(U7:U48)-MIN(ROW(U7:U48))+1))),ROW()-ROW(A$51)+1)),"##0")," ",SUBSTITUTE(INDEX(IF(PURCHASE_DESCRIPTION&lt;&gt;"",PURCHASE_DESCRIPTION&amp;":","")&amp;A7:A48,SMALL(IF(ISNUMBER(U7:U48),IF(U7:U48&gt;0,IF(X7:X48&lt;&gt;"",ROW(U7:U48)-MIN(ROW(U7:U48))+1))),ROW()-ROW(A$51)+1))," ",";")),"")</f>
        <v>0</v>
      </c>
      <c r="Z66">
        <f t="array" ref="Z66">IFERROR(CONCATENATE(TEXT(INDEX(Z7:Z48,SMALL(IF(ISNUMBER(Z7:Z48),IF(Z7:Z48&gt;0,IF(AC7:AC48&lt;&gt;"",ROW(Z7:Z48)-MIN(ROW(Z7:Z48))+1))),ROW()-ROW(A$52)+1)),"##0"),",",SUBSTITUTE(INDEX(IF(PURCHASE_DESCRIPTION&lt;&gt;"",PURCHASE_DESCRIPTION&amp;":","")&amp;A7:A48,SMALL(IF(ISNUMBER(Z7:Z48),IF(Z7:Z48&gt;0,IF(AC7:AC48&lt;&gt;"",ROW(Z7:Z48)-MIN(ROW(Z7:Z48))+1))),ROW()-ROW(A$52)+1)),",",";"),",",SUBSTITUTE(INDEX(IF(PURCHASE_DESCRIPTION&lt;&gt;"",PURCHASE_DESCRIPTION&amp;":","")&amp;D7:D48,SMALL(IF(ISNUMBER(Z7:Z48),IF(Z7:Z48&gt;0,IF(AC7:AC48&lt;&gt;"",ROW(Z7:Z48)-MIN(ROW(Z7:Z48))+1))),ROW()-ROW(A$52)+1)),",",";"),",",INDEX(AC7:AC48,SMALL(IF(ISNUMBER(Z7:Z48),IF(Z7:Z48&gt;0,IF(AC7:AC48&lt;&gt;"",ROW(Z7:Z48)-MIN(ROW(Z7:Z48))+1))),ROW()-ROW(A$52)+1))),"")</f>
        <v>0</v>
      </c>
      <c r="AE66">
        <f t="array" ref="AE66">IFERROR(CONCATENATE(INDEX(AH7:AH48,SMALL(IF(ISNUMBER(AE7:AE48),IF(AE7:AE48&gt;0,IF(AH7:AH48&lt;&gt;"",ROW(AE7:AE48)-MIN(ROW(AE7:AE48))+1))),ROW()-ROW(A$51)+1)),"|",TEXT(INDEX(AE7:AE48,SMALL(IF(ISNUMBER(AE7:AE48),IF(AE7:AE48&gt;0,IF(AH7:AH48&lt;&gt;"",ROW(AE7:AE48)-MIN(ROW(AE7:AE48))+1))),ROW()-ROW(A$51)+1)),"##0"),"|",SUBSTITUTE(SUBSTITUTE(INDEX(IF(PURCHASE_DESCRIPTION&lt;&gt;"",PURCHASE_DESCRIPTION&amp;":","")&amp;A7:A48,SMALL(IF(ISNUMBER(AE7:AE48),IF(AE7:AE48&gt;0,IF(AH7:AH48&lt;&gt;"",ROW(AE7:AE48)-MIN(ROW(AE7:AE48))+1))),ROW()-ROW(A$51)+1)),"|",";")," ","_")),"")</f>
        <v>0</v>
      </c>
      <c r="AJ66">
        <f t="array" ref="AJ66">IFERROR(CONCATENATE(INDEX(AM7:AM48,SMALL(IF(ISNUMBER(AJ7:AJ48),IF(AJ7:AJ48&gt;0,IF(AM7:AM48&lt;&gt;"",ROW(AJ7:AJ48)-MIN(ROW(AJ7:AJ48))+1))),ROW()-ROW(A$51)+1)),",",TEXT(INDEX(AJ7:AJ48,SMALL(IF(ISNUMBER(AJ7:AJ48),IF(AJ7:AJ48&gt;0,IF(AM7:AM48&lt;&gt;"",ROW(AJ7:AJ48)-MIN(ROW(AJ7:AJ48))+1))),ROW()-ROW(A$51)+1)),"##0"),",",SUBSTITUTE(INDEX(IF(PURCHASE_DESCRIPTION&lt;&gt;"",PURCHASE_DESCRIPTION&amp;":","")&amp;A7:A48,SMALL(IF(ISNUMBER(AJ7:AJ48),IF(AJ7:AJ48&gt;0,IF(AM7:AM48&lt;&gt;"",ROW(AJ7:AJ48)-MIN(ROW(AJ7:AJ48))+1))),ROW()-ROW(A$51)+1)),",",";")),"")</f>
        <v>0</v>
      </c>
      <c r="AO66">
        <f t="array" ref="AO66">IFERROR(CONCATENATE(INDEX(AR7:AR48,SMALL(IF(ISNUMBER(AO7:AO48),IF(AO7:AO48&gt;0,IF(AR7:AR48&lt;&gt;"",ROW(AO7:AO48)-MIN(ROW(AO7:AO48))+1))),ROW()-ROW(A$51)+1))," ",TEXT(INDEX(AO7:AO48,SMALL(IF(ISNUMBER(AO7:AO48),IF(AO7:AO48&gt;0,IF(AR7:AR48&lt;&gt;"",ROW(AO7:AO48)-MIN(ROW(AO7:AO48))+1))),ROW()-ROW(A$51)+1)),"##0")," ",SUBSTITUTE(INDEX(IF(PURCHASE_DESCRIPTION&lt;&gt;"",PURCHASE_DESCRIPTION&amp;":","")&amp;A7:A48,SMALL(IF(ISNUMBER(AO7:AO48),IF(AO7:AO48&gt;0,IF(AR7:AR48&lt;&gt;"",ROW(AO7:AO48)-MIN(ROW(AO7:AO48))+1))),ROW()-ROW(A$51)+1))," ",";")),"")</f>
        <v>0</v>
      </c>
      <c r="AT66">
        <f t="array" ref="AT66">IFERROR(CONCATENATE(INDEX(AW7:AW48,SMALL(IF(ISNUMBER(AT7:AT48),IF(AT7:AT48&gt;0,IF(AW7:AW48&lt;&gt;"",ROW(AT7:AT48)-MIN(ROW(AT7:AT48))+1))),ROW()-ROW(A$51)+1))," ",TEXT(INDEX(AT7:AT48,SMALL(IF(ISNUMBER(AT7:AT48),IF(AT7:AT48&gt;0,IF(AW7:AW48&lt;&gt;"",ROW(AT7:AT48)-MIN(ROW(AT7:AT48))+1))),ROW()-ROW(A$51)+1)),"##0")," ",SUBSTITUTE(INDEX(IF(PURCHASE_DESCRIPTION&lt;&gt;"",PURCHASE_DESCRIPTION&amp;":","")&amp;A7:A48,SMALL(IF(ISNUMBER(AT7:AT48),IF(AT7:AT48&gt;0,IF(AW7:AW48&lt;&gt;"",ROW(AT7:AT48)-MIN(ROW(AT7:AT48))+1))),ROW()-ROW(A$51)+1))," ",";")),"")</f>
        <v>0</v>
      </c>
    </row>
    <row r="67" spans="11:46">
      <c r="K67">
        <f t="array" ref="K67">IFERROR(CONCATENATE(INDEX(N7:N48,SMALL(IF(ISNUMBER(K7:K48),IF(K7:K48&gt;0,IF(N7:N48&lt;&gt;"",ROW(K7:K48)-MIN(ROW(K7:K48))+1))),ROW()-ROW(A$51)+1)),",",TEXT(INDEX(K7:K48,SMALL(IF(ISNUMBER(K7:K48),IF(K7:K48&gt;0,IF(N7:N48&lt;&gt;"",ROW(K7:K48)-MIN(ROW(K7:K48))+1))),ROW()-ROW(A$51)+1)),"##0"),",",SUBSTITUTE(INDEX(IF(PURCHASE_DESCRIPTION&lt;&gt;"",PURCHASE_DESCRIPTION&amp;":","")&amp;A7:A48,SMALL(IF(ISNUMBER(K7:K48),IF(K7:K48&gt;0,IF(N7:N48&lt;&gt;"",ROW(K7:K48)-MIN(ROW(K7:K48))+1))),ROW()-ROW(A$51)+1)),",",";")),"")</f>
        <v>0</v>
      </c>
      <c r="P67">
        <f t="array" ref="P67">IFERROR(CONCATENATE(TEXT(INDEX(P7:P48,SMALL(IF(ISNUMBER(P7:P48),IF(P7:P48&gt;0,IF(S7:S48&lt;&gt;"",ROW(P7:P48)-MIN(ROW(P7:P48))+1))),ROW()-ROW(A$51)+1)),"##0"),",",INDEX(S7:S48,SMALL(IF(ISNUMBER(P7:P48),IF(P7:P48&gt;0,IF(S7:S48&lt;&gt;"",ROW(P7:P48)-MIN(ROW(P7:P48))+1))),ROW()-ROW(A$51)+1)),",",SUBSTITUTE(INDEX(IF(PURCHASE_DESCRIPTION&lt;&gt;"",PURCHASE_DESCRIPTION&amp;":","")&amp;A7:A48,SMALL(IF(ISNUMBER(P7:P48),IF(P7:P48&gt;0,IF(S7:S48&lt;&gt;"",ROW(P7:P48)-MIN(ROW(P7:P48))+1))),ROW()-ROW(A$51)+1)),",",";")),"")</f>
        <v>0</v>
      </c>
      <c r="U67">
        <f t="array" ref="U67">IFERROR(CONCATENATE(INDEX(X7:X48,SMALL(IF(ISNUMBER(U7:U48),IF(U7:U48&gt;0,IF(X7:X48&lt;&gt;"",ROW(U7:U48)-MIN(ROW(U7:U48))+1))),ROW()-ROW(A$51)+1))," ",TEXT(INDEX(U7:U48,SMALL(IF(ISNUMBER(U7:U48),IF(U7:U48&gt;0,IF(X7:X48&lt;&gt;"",ROW(U7:U48)-MIN(ROW(U7:U48))+1))),ROW()-ROW(A$51)+1)),"##0")," ",SUBSTITUTE(INDEX(IF(PURCHASE_DESCRIPTION&lt;&gt;"",PURCHASE_DESCRIPTION&amp;":","")&amp;A7:A48,SMALL(IF(ISNUMBER(U7:U48),IF(U7:U48&gt;0,IF(X7:X48&lt;&gt;"",ROW(U7:U48)-MIN(ROW(U7:U48))+1))),ROW()-ROW(A$51)+1))," ",";")),"")</f>
        <v>0</v>
      </c>
      <c r="Z67">
        <f t="array" ref="Z67">IFERROR(CONCATENATE(TEXT(INDEX(Z7:Z48,SMALL(IF(ISNUMBER(Z7:Z48),IF(Z7:Z48&gt;0,IF(AC7:AC48&lt;&gt;"",ROW(Z7:Z48)-MIN(ROW(Z7:Z48))+1))),ROW()-ROW(A$52)+1)),"##0"),",",SUBSTITUTE(INDEX(IF(PURCHASE_DESCRIPTION&lt;&gt;"",PURCHASE_DESCRIPTION&amp;":","")&amp;A7:A48,SMALL(IF(ISNUMBER(Z7:Z48),IF(Z7:Z48&gt;0,IF(AC7:AC48&lt;&gt;"",ROW(Z7:Z48)-MIN(ROW(Z7:Z48))+1))),ROW()-ROW(A$52)+1)),",",";"),",",SUBSTITUTE(INDEX(IF(PURCHASE_DESCRIPTION&lt;&gt;"",PURCHASE_DESCRIPTION&amp;":","")&amp;D7:D48,SMALL(IF(ISNUMBER(Z7:Z48),IF(Z7:Z48&gt;0,IF(AC7:AC48&lt;&gt;"",ROW(Z7:Z48)-MIN(ROW(Z7:Z48))+1))),ROW()-ROW(A$52)+1)),",",";"),",",INDEX(AC7:AC48,SMALL(IF(ISNUMBER(Z7:Z48),IF(Z7:Z48&gt;0,IF(AC7:AC48&lt;&gt;"",ROW(Z7:Z48)-MIN(ROW(Z7:Z48))+1))),ROW()-ROW(A$52)+1))),"")</f>
        <v>0</v>
      </c>
      <c r="AE67">
        <f t="array" ref="AE67">IFERROR(CONCATENATE(INDEX(AH7:AH48,SMALL(IF(ISNUMBER(AE7:AE48),IF(AE7:AE48&gt;0,IF(AH7:AH48&lt;&gt;"",ROW(AE7:AE48)-MIN(ROW(AE7:AE48))+1))),ROW()-ROW(A$51)+1)),"|",TEXT(INDEX(AE7:AE48,SMALL(IF(ISNUMBER(AE7:AE48),IF(AE7:AE48&gt;0,IF(AH7:AH48&lt;&gt;"",ROW(AE7:AE48)-MIN(ROW(AE7:AE48))+1))),ROW()-ROW(A$51)+1)),"##0"),"|",SUBSTITUTE(SUBSTITUTE(INDEX(IF(PURCHASE_DESCRIPTION&lt;&gt;"",PURCHASE_DESCRIPTION&amp;":","")&amp;A7:A48,SMALL(IF(ISNUMBER(AE7:AE48),IF(AE7:AE48&gt;0,IF(AH7:AH48&lt;&gt;"",ROW(AE7:AE48)-MIN(ROW(AE7:AE48))+1))),ROW()-ROW(A$51)+1)),"|",";")," ","_")),"")</f>
        <v>0</v>
      </c>
      <c r="AJ67">
        <f t="array" ref="AJ67">IFERROR(CONCATENATE(INDEX(AM7:AM48,SMALL(IF(ISNUMBER(AJ7:AJ48),IF(AJ7:AJ48&gt;0,IF(AM7:AM48&lt;&gt;"",ROW(AJ7:AJ48)-MIN(ROW(AJ7:AJ48))+1))),ROW()-ROW(A$51)+1)),",",TEXT(INDEX(AJ7:AJ48,SMALL(IF(ISNUMBER(AJ7:AJ48),IF(AJ7:AJ48&gt;0,IF(AM7:AM48&lt;&gt;"",ROW(AJ7:AJ48)-MIN(ROW(AJ7:AJ48))+1))),ROW()-ROW(A$51)+1)),"##0"),",",SUBSTITUTE(INDEX(IF(PURCHASE_DESCRIPTION&lt;&gt;"",PURCHASE_DESCRIPTION&amp;":","")&amp;A7:A48,SMALL(IF(ISNUMBER(AJ7:AJ48),IF(AJ7:AJ48&gt;0,IF(AM7:AM48&lt;&gt;"",ROW(AJ7:AJ48)-MIN(ROW(AJ7:AJ48))+1))),ROW()-ROW(A$51)+1)),",",";")),"")</f>
        <v>0</v>
      </c>
      <c r="AO67">
        <f t="array" ref="AO67">IFERROR(CONCATENATE(INDEX(AR7:AR48,SMALL(IF(ISNUMBER(AO7:AO48),IF(AO7:AO48&gt;0,IF(AR7:AR48&lt;&gt;"",ROW(AO7:AO48)-MIN(ROW(AO7:AO48))+1))),ROW()-ROW(A$51)+1))," ",TEXT(INDEX(AO7:AO48,SMALL(IF(ISNUMBER(AO7:AO48),IF(AO7:AO48&gt;0,IF(AR7:AR48&lt;&gt;"",ROW(AO7:AO48)-MIN(ROW(AO7:AO48))+1))),ROW()-ROW(A$51)+1)),"##0")," ",SUBSTITUTE(INDEX(IF(PURCHASE_DESCRIPTION&lt;&gt;"",PURCHASE_DESCRIPTION&amp;":","")&amp;A7:A48,SMALL(IF(ISNUMBER(AO7:AO48),IF(AO7:AO48&gt;0,IF(AR7:AR48&lt;&gt;"",ROW(AO7:AO48)-MIN(ROW(AO7:AO48))+1))),ROW()-ROW(A$51)+1))," ",";")),"")</f>
        <v>0</v>
      </c>
      <c r="AT67">
        <f t="array" ref="AT67">IFERROR(CONCATENATE(INDEX(AW7:AW48,SMALL(IF(ISNUMBER(AT7:AT48),IF(AT7:AT48&gt;0,IF(AW7:AW48&lt;&gt;"",ROW(AT7:AT48)-MIN(ROW(AT7:AT48))+1))),ROW()-ROW(A$51)+1))," ",TEXT(INDEX(AT7:AT48,SMALL(IF(ISNUMBER(AT7:AT48),IF(AT7:AT48&gt;0,IF(AW7:AW48&lt;&gt;"",ROW(AT7:AT48)-MIN(ROW(AT7:AT48))+1))),ROW()-ROW(A$51)+1)),"##0")," ",SUBSTITUTE(INDEX(IF(PURCHASE_DESCRIPTION&lt;&gt;"",PURCHASE_DESCRIPTION&amp;":","")&amp;A7:A48,SMALL(IF(ISNUMBER(AT7:AT48),IF(AT7:AT48&gt;0,IF(AW7:AW48&lt;&gt;"",ROW(AT7:AT48)-MIN(ROW(AT7:AT48))+1))),ROW()-ROW(A$51)+1))," ",";")),"")</f>
        <v>0</v>
      </c>
    </row>
    <row r="68" spans="11:46">
      <c r="K68">
        <f t="array" ref="K68">IFERROR(CONCATENATE(INDEX(N7:N48,SMALL(IF(ISNUMBER(K7:K48),IF(K7:K48&gt;0,IF(N7:N48&lt;&gt;"",ROW(K7:K48)-MIN(ROW(K7:K48))+1))),ROW()-ROW(A$51)+1)),",",TEXT(INDEX(K7:K48,SMALL(IF(ISNUMBER(K7:K48),IF(K7:K48&gt;0,IF(N7:N48&lt;&gt;"",ROW(K7:K48)-MIN(ROW(K7:K48))+1))),ROW()-ROW(A$51)+1)),"##0"),",",SUBSTITUTE(INDEX(IF(PURCHASE_DESCRIPTION&lt;&gt;"",PURCHASE_DESCRIPTION&amp;":","")&amp;A7:A48,SMALL(IF(ISNUMBER(K7:K48),IF(K7:K48&gt;0,IF(N7:N48&lt;&gt;"",ROW(K7:K48)-MIN(ROW(K7:K48))+1))),ROW()-ROW(A$51)+1)),",",";")),"")</f>
        <v>0</v>
      </c>
      <c r="P68">
        <f t="array" ref="P68">IFERROR(CONCATENATE(TEXT(INDEX(P7:P48,SMALL(IF(ISNUMBER(P7:P48),IF(P7:P48&gt;0,IF(S7:S48&lt;&gt;"",ROW(P7:P48)-MIN(ROW(P7:P48))+1))),ROW()-ROW(A$51)+1)),"##0"),",",INDEX(S7:S48,SMALL(IF(ISNUMBER(P7:P48),IF(P7:P48&gt;0,IF(S7:S48&lt;&gt;"",ROW(P7:P48)-MIN(ROW(P7:P48))+1))),ROW()-ROW(A$51)+1)),",",SUBSTITUTE(INDEX(IF(PURCHASE_DESCRIPTION&lt;&gt;"",PURCHASE_DESCRIPTION&amp;":","")&amp;A7:A48,SMALL(IF(ISNUMBER(P7:P48),IF(P7:P48&gt;0,IF(S7:S48&lt;&gt;"",ROW(P7:P48)-MIN(ROW(P7:P48))+1))),ROW()-ROW(A$51)+1)),",",";")),"")</f>
        <v>0</v>
      </c>
      <c r="U68">
        <f t="array" ref="U68">IFERROR(CONCATENATE(INDEX(X7:X48,SMALL(IF(ISNUMBER(U7:U48),IF(U7:U48&gt;0,IF(X7:X48&lt;&gt;"",ROW(U7:U48)-MIN(ROW(U7:U48))+1))),ROW()-ROW(A$51)+1))," ",TEXT(INDEX(U7:U48,SMALL(IF(ISNUMBER(U7:U48),IF(U7:U48&gt;0,IF(X7:X48&lt;&gt;"",ROW(U7:U48)-MIN(ROW(U7:U48))+1))),ROW()-ROW(A$51)+1)),"##0")," ",SUBSTITUTE(INDEX(IF(PURCHASE_DESCRIPTION&lt;&gt;"",PURCHASE_DESCRIPTION&amp;":","")&amp;A7:A48,SMALL(IF(ISNUMBER(U7:U48),IF(U7:U48&gt;0,IF(X7:X48&lt;&gt;"",ROW(U7:U48)-MIN(ROW(U7:U48))+1))),ROW()-ROW(A$51)+1))," ",";")),"")</f>
        <v>0</v>
      </c>
      <c r="Z68">
        <f t="array" ref="Z68">IFERROR(CONCATENATE(TEXT(INDEX(Z7:Z48,SMALL(IF(ISNUMBER(Z7:Z48),IF(Z7:Z48&gt;0,IF(AC7:AC48&lt;&gt;"",ROW(Z7:Z48)-MIN(ROW(Z7:Z48))+1))),ROW()-ROW(A$52)+1)),"##0"),",",SUBSTITUTE(INDEX(IF(PURCHASE_DESCRIPTION&lt;&gt;"",PURCHASE_DESCRIPTION&amp;":","")&amp;A7:A48,SMALL(IF(ISNUMBER(Z7:Z48),IF(Z7:Z48&gt;0,IF(AC7:AC48&lt;&gt;"",ROW(Z7:Z48)-MIN(ROW(Z7:Z48))+1))),ROW()-ROW(A$52)+1)),",",";"),",",SUBSTITUTE(INDEX(IF(PURCHASE_DESCRIPTION&lt;&gt;"",PURCHASE_DESCRIPTION&amp;":","")&amp;D7:D48,SMALL(IF(ISNUMBER(Z7:Z48),IF(Z7:Z48&gt;0,IF(AC7:AC48&lt;&gt;"",ROW(Z7:Z48)-MIN(ROW(Z7:Z48))+1))),ROW()-ROW(A$52)+1)),",",";"),",",INDEX(AC7:AC48,SMALL(IF(ISNUMBER(Z7:Z48),IF(Z7:Z48&gt;0,IF(AC7:AC48&lt;&gt;"",ROW(Z7:Z48)-MIN(ROW(Z7:Z48))+1))),ROW()-ROW(A$52)+1))),"")</f>
        <v>0</v>
      </c>
      <c r="AE68">
        <f t="array" ref="AE68">IFERROR(CONCATENATE(INDEX(AH7:AH48,SMALL(IF(ISNUMBER(AE7:AE48),IF(AE7:AE48&gt;0,IF(AH7:AH48&lt;&gt;"",ROW(AE7:AE48)-MIN(ROW(AE7:AE48))+1))),ROW()-ROW(A$51)+1)),"|",TEXT(INDEX(AE7:AE48,SMALL(IF(ISNUMBER(AE7:AE48),IF(AE7:AE48&gt;0,IF(AH7:AH48&lt;&gt;"",ROW(AE7:AE48)-MIN(ROW(AE7:AE48))+1))),ROW()-ROW(A$51)+1)),"##0"),"|",SUBSTITUTE(SUBSTITUTE(INDEX(IF(PURCHASE_DESCRIPTION&lt;&gt;"",PURCHASE_DESCRIPTION&amp;":","")&amp;A7:A48,SMALL(IF(ISNUMBER(AE7:AE48),IF(AE7:AE48&gt;0,IF(AH7:AH48&lt;&gt;"",ROW(AE7:AE48)-MIN(ROW(AE7:AE48))+1))),ROW()-ROW(A$51)+1)),"|",";")," ","_")),"")</f>
        <v>0</v>
      </c>
      <c r="AJ68">
        <f t="array" ref="AJ68">IFERROR(CONCATENATE(INDEX(AM7:AM48,SMALL(IF(ISNUMBER(AJ7:AJ48),IF(AJ7:AJ48&gt;0,IF(AM7:AM48&lt;&gt;"",ROW(AJ7:AJ48)-MIN(ROW(AJ7:AJ48))+1))),ROW()-ROW(A$51)+1)),",",TEXT(INDEX(AJ7:AJ48,SMALL(IF(ISNUMBER(AJ7:AJ48),IF(AJ7:AJ48&gt;0,IF(AM7:AM48&lt;&gt;"",ROW(AJ7:AJ48)-MIN(ROW(AJ7:AJ48))+1))),ROW()-ROW(A$51)+1)),"##0"),",",SUBSTITUTE(INDEX(IF(PURCHASE_DESCRIPTION&lt;&gt;"",PURCHASE_DESCRIPTION&amp;":","")&amp;A7:A48,SMALL(IF(ISNUMBER(AJ7:AJ48),IF(AJ7:AJ48&gt;0,IF(AM7:AM48&lt;&gt;"",ROW(AJ7:AJ48)-MIN(ROW(AJ7:AJ48))+1))),ROW()-ROW(A$51)+1)),",",";")),"")</f>
        <v>0</v>
      </c>
      <c r="AO68">
        <f t="array" ref="AO68">IFERROR(CONCATENATE(INDEX(AR7:AR48,SMALL(IF(ISNUMBER(AO7:AO48),IF(AO7:AO48&gt;0,IF(AR7:AR48&lt;&gt;"",ROW(AO7:AO48)-MIN(ROW(AO7:AO48))+1))),ROW()-ROW(A$51)+1))," ",TEXT(INDEX(AO7:AO48,SMALL(IF(ISNUMBER(AO7:AO48),IF(AO7:AO48&gt;0,IF(AR7:AR48&lt;&gt;"",ROW(AO7:AO48)-MIN(ROW(AO7:AO48))+1))),ROW()-ROW(A$51)+1)),"##0")," ",SUBSTITUTE(INDEX(IF(PURCHASE_DESCRIPTION&lt;&gt;"",PURCHASE_DESCRIPTION&amp;":","")&amp;A7:A48,SMALL(IF(ISNUMBER(AO7:AO48),IF(AO7:AO48&gt;0,IF(AR7:AR48&lt;&gt;"",ROW(AO7:AO48)-MIN(ROW(AO7:AO48))+1))),ROW()-ROW(A$51)+1))," ",";")),"")</f>
        <v>0</v>
      </c>
      <c r="AT68">
        <f t="array" ref="AT68">IFERROR(CONCATENATE(INDEX(AW7:AW48,SMALL(IF(ISNUMBER(AT7:AT48),IF(AT7:AT48&gt;0,IF(AW7:AW48&lt;&gt;"",ROW(AT7:AT48)-MIN(ROW(AT7:AT48))+1))),ROW()-ROW(A$51)+1))," ",TEXT(INDEX(AT7:AT48,SMALL(IF(ISNUMBER(AT7:AT48),IF(AT7:AT48&gt;0,IF(AW7:AW48&lt;&gt;"",ROW(AT7:AT48)-MIN(ROW(AT7:AT48))+1))),ROW()-ROW(A$51)+1)),"##0")," ",SUBSTITUTE(INDEX(IF(PURCHASE_DESCRIPTION&lt;&gt;"",PURCHASE_DESCRIPTION&amp;":","")&amp;A7:A48,SMALL(IF(ISNUMBER(AT7:AT48),IF(AT7:AT48&gt;0,IF(AW7:AW48&lt;&gt;"",ROW(AT7:AT48)-MIN(ROW(AT7:AT48))+1))),ROW()-ROW(A$51)+1))," ",";")),"")</f>
        <v>0</v>
      </c>
    </row>
    <row r="69" spans="11:46">
      <c r="K69">
        <f t="array" ref="K69">IFERROR(CONCATENATE(INDEX(N7:N48,SMALL(IF(ISNUMBER(K7:K48),IF(K7:K48&gt;0,IF(N7:N48&lt;&gt;"",ROW(K7:K48)-MIN(ROW(K7:K48))+1))),ROW()-ROW(A$51)+1)),",",TEXT(INDEX(K7:K48,SMALL(IF(ISNUMBER(K7:K48),IF(K7:K48&gt;0,IF(N7:N48&lt;&gt;"",ROW(K7:K48)-MIN(ROW(K7:K48))+1))),ROW()-ROW(A$51)+1)),"##0"),",",SUBSTITUTE(INDEX(IF(PURCHASE_DESCRIPTION&lt;&gt;"",PURCHASE_DESCRIPTION&amp;":","")&amp;A7:A48,SMALL(IF(ISNUMBER(K7:K48),IF(K7:K48&gt;0,IF(N7:N48&lt;&gt;"",ROW(K7:K48)-MIN(ROW(K7:K48))+1))),ROW()-ROW(A$51)+1)),",",";")),"")</f>
        <v>0</v>
      </c>
      <c r="P69">
        <f t="array" ref="P69">IFERROR(CONCATENATE(TEXT(INDEX(P7:P48,SMALL(IF(ISNUMBER(P7:P48),IF(P7:P48&gt;0,IF(S7:S48&lt;&gt;"",ROW(P7:P48)-MIN(ROW(P7:P48))+1))),ROW()-ROW(A$51)+1)),"##0"),",",INDEX(S7:S48,SMALL(IF(ISNUMBER(P7:P48),IF(P7:P48&gt;0,IF(S7:S48&lt;&gt;"",ROW(P7:P48)-MIN(ROW(P7:P48))+1))),ROW()-ROW(A$51)+1)),",",SUBSTITUTE(INDEX(IF(PURCHASE_DESCRIPTION&lt;&gt;"",PURCHASE_DESCRIPTION&amp;":","")&amp;A7:A48,SMALL(IF(ISNUMBER(P7:P48),IF(P7:P48&gt;0,IF(S7:S48&lt;&gt;"",ROW(P7:P48)-MIN(ROW(P7:P48))+1))),ROW()-ROW(A$51)+1)),",",";")),"")</f>
        <v>0</v>
      </c>
      <c r="U69">
        <f t="array" ref="U69">IFERROR(CONCATENATE(INDEX(X7:X48,SMALL(IF(ISNUMBER(U7:U48),IF(U7:U48&gt;0,IF(X7:X48&lt;&gt;"",ROW(U7:U48)-MIN(ROW(U7:U48))+1))),ROW()-ROW(A$51)+1))," ",TEXT(INDEX(U7:U48,SMALL(IF(ISNUMBER(U7:U48),IF(U7:U48&gt;0,IF(X7:X48&lt;&gt;"",ROW(U7:U48)-MIN(ROW(U7:U48))+1))),ROW()-ROW(A$51)+1)),"##0")," ",SUBSTITUTE(INDEX(IF(PURCHASE_DESCRIPTION&lt;&gt;"",PURCHASE_DESCRIPTION&amp;":","")&amp;A7:A48,SMALL(IF(ISNUMBER(U7:U48),IF(U7:U48&gt;0,IF(X7:X48&lt;&gt;"",ROW(U7:U48)-MIN(ROW(U7:U48))+1))),ROW()-ROW(A$51)+1))," ",";")),"")</f>
        <v>0</v>
      </c>
      <c r="Z69">
        <f t="array" ref="Z69">IFERROR(CONCATENATE(TEXT(INDEX(Z7:Z48,SMALL(IF(ISNUMBER(Z7:Z48),IF(Z7:Z48&gt;0,IF(AC7:AC48&lt;&gt;"",ROW(Z7:Z48)-MIN(ROW(Z7:Z48))+1))),ROW()-ROW(A$52)+1)),"##0"),",",SUBSTITUTE(INDEX(IF(PURCHASE_DESCRIPTION&lt;&gt;"",PURCHASE_DESCRIPTION&amp;":","")&amp;A7:A48,SMALL(IF(ISNUMBER(Z7:Z48),IF(Z7:Z48&gt;0,IF(AC7:AC48&lt;&gt;"",ROW(Z7:Z48)-MIN(ROW(Z7:Z48))+1))),ROW()-ROW(A$52)+1)),",",";"),",",SUBSTITUTE(INDEX(IF(PURCHASE_DESCRIPTION&lt;&gt;"",PURCHASE_DESCRIPTION&amp;":","")&amp;D7:D48,SMALL(IF(ISNUMBER(Z7:Z48),IF(Z7:Z48&gt;0,IF(AC7:AC48&lt;&gt;"",ROW(Z7:Z48)-MIN(ROW(Z7:Z48))+1))),ROW()-ROW(A$52)+1)),",",";"),",",INDEX(AC7:AC48,SMALL(IF(ISNUMBER(Z7:Z48),IF(Z7:Z48&gt;0,IF(AC7:AC48&lt;&gt;"",ROW(Z7:Z48)-MIN(ROW(Z7:Z48))+1))),ROW()-ROW(A$52)+1))),"")</f>
        <v>0</v>
      </c>
      <c r="AE69">
        <f t="array" ref="AE69">IFERROR(CONCATENATE(INDEX(AH7:AH48,SMALL(IF(ISNUMBER(AE7:AE48),IF(AE7:AE48&gt;0,IF(AH7:AH48&lt;&gt;"",ROW(AE7:AE48)-MIN(ROW(AE7:AE48))+1))),ROW()-ROW(A$51)+1)),"|",TEXT(INDEX(AE7:AE48,SMALL(IF(ISNUMBER(AE7:AE48),IF(AE7:AE48&gt;0,IF(AH7:AH48&lt;&gt;"",ROW(AE7:AE48)-MIN(ROW(AE7:AE48))+1))),ROW()-ROW(A$51)+1)),"##0"),"|",SUBSTITUTE(SUBSTITUTE(INDEX(IF(PURCHASE_DESCRIPTION&lt;&gt;"",PURCHASE_DESCRIPTION&amp;":","")&amp;A7:A48,SMALL(IF(ISNUMBER(AE7:AE48),IF(AE7:AE48&gt;0,IF(AH7:AH48&lt;&gt;"",ROW(AE7:AE48)-MIN(ROW(AE7:AE48))+1))),ROW()-ROW(A$51)+1)),"|",";")," ","_")),"")</f>
        <v>0</v>
      </c>
      <c r="AJ69">
        <f t="array" ref="AJ69">IFERROR(CONCATENATE(INDEX(AM7:AM48,SMALL(IF(ISNUMBER(AJ7:AJ48),IF(AJ7:AJ48&gt;0,IF(AM7:AM48&lt;&gt;"",ROW(AJ7:AJ48)-MIN(ROW(AJ7:AJ48))+1))),ROW()-ROW(A$51)+1)),",",TEXT(INDEX(AJ7:AJ48,SMALL(IF(ISNUMBER(AJ7:AJ48),IF(AJ7:AJ48&gt;0,IF(AM7:AM48&lt;&gt;"",ROW(AJ7:AJ48)-MIN(ROW(AJ7:AJ48))+1))),ROW()-ROW(A$51)+1)),"##0"),",",SUBSTITUTE(INDEX(IF(PURCHASE_DESCRIPTION&lt;&gt;"",PURCHASE_DESCRIPTION&amp;":","")&amp;A7:A48,SMALL(IF(ISNUMBER(AJ7:AJ48),IF(AJ7:AJ48&gt;0,IF(AM7:AM48&lt;&gt;"",ROW(AJ7:AJ48)-MIN(ROW(AJ7:AJ48))+1))),ROW()-ROW(A$51)+1)),",",";")),"")</f>
        <v>0</v>
      </c>
      <c r="AO69">
        <f t="array" ref="AO69">IFERROR(CONCATENATE(INDEX(AR7:AR48,SMALL(IF(ISNUMBER(AO7:AO48),IF(AO7:AO48&gt;0,IF(AR7:AR48&lt;&gt;"",ROW(AO7:AO48)-MIN(ROW(AO7:AO48))+1))),ROW()-ROW(A$51)+1))," ",TEXT(INDEX(AO7:AO48,SMALL(IF(ISNUMBER(AO7:AO48),IF(AO7:AO48&gt;0,IF(AR7:AR48&lt;&gt;"",ROW(AO7:AO48)-MIN(ROW(AO7:AO48))+1))),ROW()-ROW(A$51)+1)),"##0")," ",SUBSTITUTE(INDEX(IF(PURCHASE_DESCRIPTION&lt;&gt;"",PURCHASE_DESCRIPTION&amp;":","")&amp;A7:A48,SMALL(IF(ISNUMBER(AO7:AO48),IF(AO7:AO48&gt;0,IF(AR7:AR48&lt;&gt;"",ROW(AO7:AO48)-MIN(ROW(AO7:AO48))+1))),ROW()-ROW(A$51)+1))," ",";")),"")</f>
        <v>0</v>
      </c>
      <c r="AT69">
        <f t="array" ref="AT69">IFERROR(CONCATENATE(INDEX(AW7:AW48,SMALL(IF(ISNUMBER(AT7:AT48),IF(AT7:AT48&gt;0,IF(AW7:AW48&lt;&gt;"",ROW(AT7:AT48)-MIN(ROW(AT7:AT48))+1))),ROW()-ROW(A$51)+1))," ",TEXT(INDEX(AT7:AT48,SMALL(IF(ISNUMBER(AT7:AT48),IF(AT7:AT48&gt;0,IF(AW7:AW48&lt;&gt;"",ROW(AT7:AT48)-MIN(ROW(AT7:AT48))+1))),ROW()-ROW(A$51)+1)),"##0")," ",SUBSTITUTE(INDEX(IF(PURCHASE_DESCRIPTION&lt;&gt;"",PURCHASE_DESCRIPTION&amp;":","")&amp;A7:A48,SMALL(IF(ISNUMBER(AT7:AT48),IF(AT7:AT48&gt;0,IF(AW7:AW48&lt;&gt;"",ROW(AT7:AT48)-MIN(ROW(AT7:AT48))+1))),ROW()-ROW(A$51)+1))," ",";")),"")</f>
        <v>0</v>
      </c>
    </row>
    <row r="70" spans="11:46">
      <c r="K70">
        <f t="array" ref="K70">IFERROR(CONCATENATE(INDEX(N7:N48,SMALL(IF(ISNUMBER(K7:K48),IF(K7:K48&gt;0,IF(N7:N48&lt;&gt;"",ROW(K7:K48)-MIN(ROW(K7:K48))+1))),ROW()-ROW(A$51)+1)),",",TEXT(INDEX(K7:K48,SMALL(IF(ISNUMBER(K7:K48),IF(K7:K48&gt;0,IF(N7:N48&lt;&gt;"",ROW(K7:K48)-MIN(ROW(K7:K48))+1))),ROW()-ROW(A$51)+1)),"##0"),",",SUBSTITUTE(INDEX(IF(PURCHASE_DESCRIPTION&lt;&gt;"",PURCHASE_DESCRIPTION&amp;":","")&amp;A7:A48,SMALL(IF(ISNUMBER(K7:K48),IF(K7:K48&gt;0,IF(N7:N48&lt;&gt;"",ROW(K7:K48)-MIN(ROW(K7:K48))+1))),ROW()-ROW(A$51)+1)),",",";")),"")</f>
        <v>0</v>
      </c>
      <c r="P70">
        <f t="array" ref="P70">IFERROR(CONCATENATE(TEXT(INDEX(P7:P48,SMALL(IF(ISNUMBER(P7:P48),IF(P7:P48&gt;0,IF(S7:S48&lt;&gt;"",ROW(P7:P48)-MIN(ROW(P7:P48))+1))),ROW()-ROW(A$51)+1)),"##0"),",",INDEX(S7:S48,SMALL(IF(ISNUMBER(P7:P48),IF(P7:P48&gt;0,IF(S7:S48&lt;&gt;"",ROW(P7:P48)-MIN(ROW(P7:P48))+1))),ROW()-ROW(A$51)+1)),",",SUBSTITUTE(INDEX(IF(PURCHASE_DESCRIPTION&lt;&gt;"",PURCHASE_DESCRIPTION&amp;":","")&amp;A7:A48,SMALL(IF(ISNUMBER(P7:P48),IF(P7:P48&gt;0,IF(S7:S48&lt;&gt;"",ROW(P7:P48)-MIN(ROW(P7:P48))+1))),ROW()-ROW(A$51)+1)),",",";")),"")</f>
        <v>0</v>
      </c>
      <c r="U70">
        <f t="array" ref="U70">IFERROR(CONCATENATE(INDEX(X7:X48,SMALL(IF(ISNUMBER(U7:U48),IF(U7:U48&gt;0,IF(X7:X48&lt;&gt;"",ROW(U7:U48)-MIN(ROW(U7:U48))+1))),ROW()-ROW(A$51)+1))," ",TEXT(INDEX(U7:U48,SMALL(IF(ISNUMBER(U7:U48),IF(U7:U48&gt;0,IF(X7:X48&lt;&gt;"",ROW(U7:U48)-MIN(ROW(U7:U48))+1))),ROW()-ROW(A$51)+1)),"##0")," ",SUBSTITUTE(INDEX(IF(PURCHASE_DESCRIPTION&lt;&gt;"",PURCHASE_DESCRIPTION&amp;":","")&amp;A7:A48,SMALL(IF(ISNUMBER(U7:U48),IF(U7:U48&gt;0,IF(X7:X48&lt;&gt;"",ROW(U7:U48)-MIN(ROW(U7:U48))+1))),ROW()-ROW(A$51)+1))," ",";")),"")</f>
        <v>0</v>
      </c>
      <c r="Z70">
        <f t="array" ref="Z70">IFERROR(CONCATENATE(TEXT(INDEX(Z7:Z48,SMALL(IF(ISNUMBER(Z7:Z48),IF(Z7:Z48&gt;0,IF(AC7:AC48&lt;&gt;"",ROW(Z7:Z48)-MIN(ROW(Z7:Z48))+1))),ROW()-ROW(A$52)+1)),"##0"),",",SUBSTITUTE(INDEX(IF(PURCHASE_DESCRIPTION&lt;&gt;"",PURCHASE_DESCRIPTION&amp;":","")&amp;A7:A48,SMALL(IF(ISNUMBER(Z7:Z48),IF(Z7:Z48&gt;0,IF(AC7:AC48&lt;&gt;"",ROW(Z7:Z48)-MIN(ROW(Z7:Z48))+1))),ROW()-ROW(A$52)+1)),",",";"),",",SUBSTITUTE(INDEX(IF(PURCHASE_DESCRIPTION&lt;&gt;"",PURCHASE_DESCRIPTION&amp;":","")&amp;D7:D48,SMALL(IF(ISNUMBER(Z7:Z48),IF(Z7:Z48&gt;0,IF(AC7:AC48&lt;&gt;"",ROW(Z7:Z48)-MIN(ROW(Z7:Z48))+1))),ROW()-ROW(A$52)+1)),",",";"),",",INDEX(AC7:AC48,SMALL(IF(ISNUMBER(Z7:Z48),IF(Z7:Z48&gt;0,IF(AC7:AC48&lt;&gt;"",ROW(Z7:Z48)-MIN(ROW(Z7:Z48))+1))),ROW()-ROW(A$52)+1))),"")</f>
        <v>0</v>
      </c>
      <c r="AE70">
        <f t="array" ref="AE70">IFERROR(CONCATENATE(INDEX(AH7:AH48,SMALL(IF(ISNUMBER(AE7:AE48),IF(AE7:AE48&gt;0,IF(AH7:AH48&lt;&gt;"",ROW(AE7:AE48)-MIN(ROW(AE7:AE48))+1))),ROW()-ROW(A$51)+1)),"|",TEXT(INDEX(AE7:AE48,SMALL(IF(ISNUMBER(AE7:AE48),IF(AE7:AE48&gt;0,IF(AH7:AH48&lt;&gt;"",ROW(AE7:AE48)-MIN(ROW(AE7:AE48))+1))),ROW()-ROW(A$51)+1)),"##0"),"|",SUBSTITUTE(SUBSTITUTE(INDEX(IF(PURCHASE_DESCRIPTION&lt;&gt;"",PURCHASE_DESCRIPTION&amp;":","")&amp;A7:A48,SMALL(IF(ISNUMBER(AE7:AE48),IF(AE7:AE48&gt;0,IF(AH7:AH48&lt;&gt;"",ROW(AE7:AE48)-MIN(ROW(AE7:AE48))+1))),ROW()-ROW(A$51)+1)),"|",";")," ","_")),"")</f>
        <v>0</v>
      </c>
      <c r="AJ70">
        <f t="array" ref="AJ70">IFERROR(CONCATENATE(INDEX(AM7:AM48,SMALL(IF(ISNUMBER(AJ7:AJ48),IF(AJ7:AJ48&gt;0,IF(AM7:AM48&lt;&gt;"",ROW(AJ7:AJ48)-MIN(ROW(AJ7:AJ48))+1))),ROW()-ROW(A$51)+1)),",",TEXT(INDEX(AJ7:AJ48,SMALL(IF(ISNUMBER(AJ7:AJ48),IF(AJ7:AJ48&gt;0,IF(AM7:AM48&lt;&gt;"",ROW(AJ7:AJ48)-MIN(ROW(AJ7:AJ48))+1))),ROW()-ROW(A$51)+1)),"##0"),",",SUBSTITUTE(INDEX(IF(PURCHASE_DESCRIPTION&lt;&gt;"",PURCHASE_DESCRIPTION&amp;":","")&amp;A7:A48,SMALL(IF(ISNUMBER(AJ7:AJ48),IF(AJ7:AJ48&gt;0,IF(AM7:AM48&lt;&gt;"",ROW(AJ7:AJ48)-MIN(ROW(AJ7:AJ48))+1))),ROW()-ROW(A$51)+1)),",",";")),"")</f>
        <v>0</v>
      </c>
      <c r="AO70">
        <f t="array" ref="AO70">IFERROR(CONCATENATE(INDEX(AR7:AR48,SMALL(IF(ISNUMBER(AO7:AO48),IF(AO7:AO48&gt;0,IF(AR7:AR48&lt;&gt;"",ROW(AO7:AO48)-MIN(ROW(AO7:AO48))+1))),ROW()-ROW(A$51)+1))," ",TEXT(INDEX(AO7:AO48,SMALL(IF(ISNUMBER(AO7:AO48),IF(AO7:AO48&gt;0,IF(AR7:AR48&lt;&gt;"",ROW(AO7:AO48)-MIN(ROW(AO7:AO48))+1))),ROW()-ROW(A$51)+1)),"##0")," ",SUBSTITUTE(INDEX(IF(PURCHASE_DESCRIPTION&lt;&gt;"",PURCHASE_DESCRIPTION&amp;":","")&amp;A7:A48,SMALL(IF(ISNUMBER(AO7:AO48),IF(AO7:AO48&gt;0,IF(AR7:AR48&lt;&gt;"",ROW(AO7:AO48)-MIN(ROW(AO7:AO48))+1))),ROW()-ROW(A$51)+1))," ",";")),"")</f>
        <v>0</v>
      </c>
      <c r="AT70">
        <f t="array" ref="AT70">IFERROR(CONCATENATE(INDEX(AW7:AW48,SMALL(IF(ISNUMBER(AT7:AT48),IF(AT7:AT48&gt;0,IF(AW7:AW48&lt;&gt;"",ROW(AT7:AT48)-MIN(ROW(AT7:AT48))+1))),ROW()-ROW(A$51)+1))," ",TEXT(INDEX(AT7:AT48,SMALL(IF(ISNUMBER(AT7:AT48),IF(AT7:AT48&gt;0,IF(AW7:AW48&lt;&gt;"",ROW(AT7:AT48)-MIN(ROW(AT7:AT48))+1))),ROW()-ROW(A$51)+1)),"##0")," ",SUBSTITUTE(INDEX(IF(PURCHASE_DESCRIPTION&lt;&gt;"",PURCHASE_DESCRIPTION&amp;":","")&amp;A7:A48,SMALL(IF(ISNUMBER(AT7:AT48),IF(AT7:AT48&gt;0,IF(AW7:AW48&lt;&gt;"",ROW(AT7:AT48)-MIN(ROW(AT7:AT48))+1))),ROW()-ROW(A$51)+1))," ",";")),"")</f>
        <v>0</v>
      </c>
    </row>
    <row r="71" spans="11:46">
      <c r="K71">
        <f t="array" ref="K71">IFERROR(CONCATENATE(INDEX(N7:N48,SMALL(IF(ISNUMBER(K7:K48),IF(K7:K48&gt;0,IF(N7:N48&lt;&gt;"",ROW(K7:K48)-MIN(ROW(K7:K48))+1))),ROW()-ROW(A$51)+1)),",",TEXT(INDEX(K7:K48,SMALL(IF(ISNUMBER(K7:K48),IF(K7:K48&gt;0,IF(N7:N48&lt;&gt;"",ROW(K7:K48)-MIN(ROW(K7:K48))+1))),ROW()-ROW(A$51)+1)),"##0"),",",SUBSTITUTE(INDEX(IF(PURCHASE_DESCRIPTION&lt;&gt;"",PURCHASE_DESCRIPTION&amp;":","")&amp;A7:A48,SMALL(IF(ISNUMBER(K7:K48),IF(K7:K48&gt;0,IF(N7:N48&lt;&gt;"",ROW(K7:K48)-MIN(ROW(K7:K48))+1))),ROW()-ROW(A$51)+1)),",",";")),"")</f>
        <v>0</v>
      </c>
      <c r="P71">
        <f t="array" ref="P71">IFERROR(CONCATENATE(TEXT(INDEX(P7:P48,SMALL(IF(ISNUMBER(P7:P48),IF(P7:P48&gt;0,IF(S7:S48&lt;&gt;"",ROW(P7:P48)-MIN(ROW(P7:P48))+1))),ROW()-ROW(A$51)+1)),"##0"),",",INDEX(S7:S48,SMALL(IF(ISNUMBER(P7:P48),IF(P7:P48&gt;0,IF(S7:S48&lt;&gt;"",ROW(P7:P48)-MIN(ROW(P7:P48))+1))),ROW()-ROW(A$51)+1)),",",SUBSTITUTE(INDEX(IF(PURCHASE_DESCRIPTION&lt;&gt;"",PURCHASE_DESCRIPTION&amp;":","")&amp;A7:A48,SMALL(IF(ISNUMBER(P7:P48),IF(P7:P48&gt;0,IF(S7:S48&lt;&gt;"",ROW(P7:P48)-MIN(ROW(P7:P48))+1))),ROW()-ROW(A$51)+1)),",",";")),"")</f>
        <v>0</v>
      </c>
      <c r="U71">
        <f t="array" ref="U71">IFERROR(CONCATENATE(INDEX(X7:X48,SMALL(IF(ISNUMBER(U7:U48),IF(U7:U48&gt;0,IF(X7:X48&lt;&gt;"",ROW(U7:U48)-MIN(ROW(U7:U48))+1))),ROW()-ROW(A$51)+1))," ",TEXT(INDEX(U7:U48,SMALL(IF(ISNUMBER(U7:U48),IF(U7:U48&gt;0,IF(X7:X48&lt;&gt;"",ROW(U7:U48)-MIN(ROW(U7:U48))+1))),ROW()-ROW(A$51)+1)),"##0")," ",SUBSTITUTE(INDEX(IF(PURCHASE_DESCRIPTION&lt;&gt;"",PURCHASE_DESCRIPTION&amp;":","")&amp;A7:A48,SMALL(IF(ISNUMBER(U7:U48),IF(U7:U48&gt;0,IF(X7:X48&lt;&gt;"",ROW(U7:U48)-MIN(ROW(U7:U48))+1))),ROW()-ROW(A$51)+1))," ",";")),"")</f>
        <v>0</v>
      </c>
      <c r="Z71">
        <f t="array" ref="Z71">IFERROR(CONCATENATE(TEXT(INDEX(Z7:Z48,SMALL(IF(ISNUMBER(Z7:Z48),IF(Z7:Z48&gt;0,IF(AC7:AC48&lt;&gt;"",ROW(Z7:Z48)-MIN(ROW(Z7:Z48))+1))),ROW()-ROW(A$52)+1)),"##0"),",",SUBSTITUTE(INDEX(IF(PURCHASE_DESCRIPTION&lt;&gt;"",PURCHASE_DESCRIPTION&amp;":","")&amp;A7:A48,SMALL(IF(ISNUMBER(Z7:Z48),IF(Z7:Z48&gt;0,IF(AC7:AC48&lt;&gt;"",ROW(Z7:Z48)-MIN(ROW(Z7:Z48))+1))),ROW()-ROW(A$52)+1)),",",";"),",",SUBSTITUTE(INDEX(IF(PURCHASE_DESCRIPTION&lt;&gt;"",PURCHASE_DESCRIPTION&amp;":","")&amp;D7:D48,SMALL(IF(ISNUMBER(Z7:Z48),IF(Z7:Z48&gt;0,IF(AC7:AC48&lt;&gt;"",ROW(Z7:Z48)-MIN(ROW(Z7:Z48))+1))),ROW()-ROW(A$52)+1)),",",";"),",",INDEX(AC7:AC48,SMALL(IF(ISNUMBER(Z7:Z48),IF(Z7:Z48&gt;0,IF(AC7:AC48&lt;&gt;"",ROW(Z7:Z48)-MIN(ROW(Z7:Z48))+1))),ROW()-ROW(A$52)+1))),"")</f>
        <v>0</v>
      </c>
      <c r="AE71">
        <f t="array" ref="AE71">IFERROR(CONCATENATE(INDEX(AH7:AH48,SMALL(IF(ISNUMBER(AE7:AE48),IF(AE7:AE48&gt;0,IF(AH7:AH48&lt;&gt;"",ROW(AE7:AE48)-MIN(ROW(AE7:AE48))+1))),ROW()-ROW(A$51)+1)),"|",TEXT(INDEX(AE7:AE48,SMALL(IF(ISNUMBER(AE7:AE48),IF(AE7:AE48&gt;0,IF(AH7:AH48&lt;&gt;"",ROW(AE7:AE48)-MIN(ROW(AE7:AE48))+1))),ROW()-ROW(A$51)+1)),"##0"),"|",SUBSTITUTE(SUBSTITUTE(INDEX(IF(PURCHASE_DESCRIPTION&lt;&gt;"",PURCHASE_DESCRIPTION&amp;":","")&amp;A7:A48,SMALL(IF(ISNUMBER(AE7:AE48),IF(AE7:AE48&gt;0,IF(AH7:AH48&lt;&gt;"",ROW(AE7:AE48)-MIN(ROW(AE7:AE48))+1))),ROW()-ROW(A$51)+1)),"|",";")," ","_")),"")</f>
        <v>0</v>
      </c>
      <c r="AJ71">
        <f t="array" ref="AJ71">IFERROR(CONCATENATE(INDEX(AM7:AM48,SMALL(IF(ISNUMBER(AJ7:AJ48),IF(AJ7:AJ48&gt;0,IF(AM7:AM48&lt;&gt;"",ROW(AJ7:AJ48)-MIN(ROW(AJ7:AJ48))+1))),ROW()-ROW(A$51)+1)),",",TEXT(INDEX(AJ7:AJ48,SMALL(IF(ISNUMBER(AJ7:AJ48),IF(AJ7:AJ48&gt;0,IF(AM7:AM48&lt;&gt;"",ROW(AJ7:AJ48)-MIN(ROW(AJ7:AJ48))+1))),ROW()-ROW(A$51)+1)),"##0"),",",SUBSTITUTE(INDEX(IF(PURCHASE_DESCRIPTION&lt;&gt;"",PURCHASE_DESCRIPTION&amp;":","")&amp;A7:A48,SMALL(IF(ISNUMBER(AJ7:AJ48),IF(AJ7:AJ48&gt;0,IF(AM7:AM48&lt;&gt;"",ROW(AJ7:AJ48)-MIN(ROW(AJ7:AJ48))+1))),ROW()-ROW(A$51)+1)),",",";")),"")</f>
        <v>0</v>
      </c>
      <c r="AO71">
        <f t="array" ref="AO71">IFERROR(CONCATENATE(INDEX(AR7:AR48,SMALL(IF(ISNUMBER(AO7:AO48),IF(AO7:AO48&gt;0,IF(AR7:AR48&lt;&gt;"",ROW(AO7:AO48)-MIN(ROW(AO7:AO48))+1))),ROW()-ROW(A$51)+1))," ",TEXT(INDEX(AO7:AO48,SMALL(IF(ISNUMBER(AO7:AO48),IF(AO7:AO48&gt;0,IF(AR7:AR48&lt;&gt;"",ROW(AO7:AO48)-MIN(ROW(AO7:AO48))+1))),ROW()-ROW(A$51)+1)),"##0")," ",SUBSTITUTE(INDEX(IF(PURCHASE_DESCRIPTION&lt;&gt;"",PURCHASE_DESCRIPTION&amp;":","")&amp;A7:A48,SMALL(IF(ISNUMBER(AO7:AO48),IF(AO7:AO48&gt;0,IF(AR7:AR48&lt;&gt;"",ROW(AO7:AO48)-MIN(ROW(AO7:AO48))+1))),ROW()-ROW(A$51)+1))," ",";")),"")</f>
        <v>0</v>
      </c>
      <c r="AT71">
        <f t="array" ref="AT71">IFERROR(CONCATENATE(INDEX(AW7:AW48,SMALL(IF(ISNUMBER(AT7:AT48),IF(AT7:AT48&gt;0,IF(AW7:AW48&lt;&gt;"",ROW(AT7:AT48)-MIN(ROW(AT7:AT48))+1))),ROW()-ROW(A$51)+1))," ",TEXT(INDEX(AT7:AT48,SMALL(IF(ISNUMBER(AT7:AT48),IF(AT7:AT48&gt;0,IF(AW7:AW48&lt;&gt;"",ROW(AT7:AT48)-MIN(ROW(AT7:AT48))+1))),ROW()-ROW(A$51)+1)),"##0")," ",SUBSTITUTE(INDEX(IF(PURCHASE_DESCRIPTION&lt;&gt;"",PURCHASE_DESCRIPTION&amp;":","")&amp;A7:A48,SMALL(IF(ISNUMBER(AT7:AT48),IF(AT7:AT48&gt;0,IF(AW7:AW48&lt;&gt;"",ROW(AT7:AT48)-MIN(ROW(AT7:AT48))+1))),ROW()-ROW(A$51)+1))," ",";")),"")</f>
        <v>0</v>
      </c>
    </row>
    <row r="72" spans="11:46">
      <c r="K72">
        <f t="array" ref="K72">IFERROR(CONCATENATE(INDEX(N7:N48,SMALL(IF(ISNUMBER(K7:K48),IF(K7:K48&gt;0,IF(N7:N48&lt;&gt;"",ROW(K7:K48)-MIN(ROW(K7:K48))+1))),ROW()-ROW(A$51)+1)),",",TEXT(INDEX(K7:K48,SMALL(IF(ISNUMBER(K7:K48),IF(K7:K48&gt;0,IF(N7:N48&lt;&gt;"",ROW(K7:K48)-MIN(ROW(K7:K48))+1))),ROW()-ROW(A$51)+1)),"##0"),",",SUBSTITUTE(INDEX(IF(PURCHASE_DESCRIPTION&lt;&gt;"",PURCHASE_DESCRIPTION&amp;":","")&amp;A7:A48,SMALL(IF(ISNUMBER(K7:K48),IF(K7:K48&gt;0,IF(N7:N48&lt;&gt;"",ROW(K7:K48)-MIN(ROW(K7:K48))+1))),ROW()-ROW(A$51)+1)),",",";")),"")</f>
        <v>0</v>
      </c>
      <c r="P72">
        <f t="array" ref="P72">IFERROR(CONCATENATE(TEXT(INDEX(P7:P48,SMALL(IF(ISNUMBER(P7:P48),IF(P7:P48&gt;0,IF(S7:S48&lt;&gt;"",ROW(P7:P48)-MIN(ROW(P7:P48))+1))),ROW()-ROW(A$51)+1)),"##0"),",",INDEX(S7:S48,SMALL(IF(ISNUMBER(P7:P48),IF(P7:P48&gt;0,IF(S7:S48&lt;&gt;"",ROW(P7:P48)-MIN(ROW(P7:P48))+1))),ROW()-ROW(A$51)+1)),",",SUBSTITUTE(INDEX(IF(PURCHASE_DESCRIPTION&lt;&gt;"",PURCHASE_DESCRIPTION&amp;":","")&amp;A7:A48,SMALL(IF(ISNUMBER(P7:P48),IF(P7:P48&gt;0,IF(S7:S48&lt;&gt;"",ROW(P7:P48)-MIN(ROW(P7:P48))+1))),ROW()-ROW(A$51)+1)),",",";")),"")</f>
        <v>0</v>
      </c>
      <c r="U72">
        <f t="array" ref="U72">IFERROR(CONCATENATE(INDEX(X7:X48,SMALL(IF(ISNUMBER(U7:U48),IF(U7:U48&gt;0,IF(X7:X48&lt;&gt;"",ROW(U7:U48)-MIN(ROW(U7:U48))+1))),ROW()-ROW(A$51)+1))," ",TEXT(INDEX(U7:U48,SMALL(IF(ISNUMBER(U7:U48),IF(U7:U48&gt;0,IF(X7:X48&lt;&gt;"",ROW(U7:U48)-MIN(ROW(U7:U48))+1))),ROW()-ROW(A$51)+1)),"##0")," ",SUBSTITUTE(INDEX(IF(PURCHASE_DESCRIPTION&lt;&gt;"",PURCHASE_DESCRIPTION&amp;":","")&amp;A7:A48,SMALL(IF(ISNUMBER(U7:U48),IF(U7:U48&gt;0,IF(X7:X48&lt;&gt;"",ROW(U7:U48)-MIN(ROW(U7:U48))+1))),ROW()-ROW(A$51)+1))," ",";")),"")</f>
        <v>0</v>
      </c>
      <c r="Z72">
        <f t="array" ref="Z72">IFERROR(CONCATENATE(TEXT(INDEX(Z7:Z48,SMALL(IF(ISNUMBER(Z7:Z48),IF(Z7:Z48&gt;0,IF(AC7:AC48&lt;&gt;"",ROW(Z7:Z48)-MIN(ROW(Z7:Z48))+1))),ROW()-ROW(A$52)+1)),"##0"),",",SUBSTITUTE(INDEX(IF(PURCHASE_DESCRIPTION&lt;&gt;"",PURCHASE_DESCRIPTION&amp;":","")&amp;A7:A48,SMALL(IF(ISNUMBER(Z7:Z48),IF(Z7:Z48&gt;0,IF(AC7:AC48&lt;&gt;"",ROW(Z7:Z48)-MIN(ROW(Z7:Z48))+1))),ROW()-ROW(A$52)+1)),",",";"),",",SUBSTITUTE(INDEX(IF(PURCHASE_DESCRIPTION&lt;&gt;"",PURCHASE_DESCRIPTION&amp;":","")&amp;D7:D48,SMALL(IF(ISNUMBER(Z7:Z48),IF(Z7:Z48&gt;0,IF(AC7:AC48&lt;&gt;"",ROW(Z7:Z48)-MIN(ROW(Z7:Z48))+1))),ROW()-ROW(A$52)+1)),",",";"),",",INDEX(AC7:AC48,SMALL(IF(ISNUMBER(Z7:Z48),IF(Z7:Z48&gt;0,IF(AC7:AC48&lt;&gt;"",ROW(Z7:Z48)-MIN(ROW(Z7:Z48))+1))),ROW()-ROW(A$52)+1))),"")</f>
        <v>0</v>
      </c>
      <c r="AE72">
        <f t="array" ref="AE72">IFERROR(CONCATENATE(INDEX(AH7:AH48,SMALL(IF(ISNUMBER(AE7:AE48),IF(AE7:AE48&gt;0,IF(AH7:AH48&lt;&gt;"",ROW(AE7:AE48)-MIN(ROW(AE7:AE48))+1))),ROW()-ROW(A$51)+1)),"|",TEXT(INDEX(AE7:AE48,SMALL(IF(ISNUMBER(AE7:AE48),IF(AE7:AE48&gt;0,IF(AH7:AH48&lt;&gt;"",ROW(AE7:AE48)-MIN(ROW(AE7:AE48))+1))),ROW()-ROW(A$51)+1)),"##0"),"|",SUBSTITUTE(SUBSTITUTE(INDEX(IF(PURCHASE_DESCRIPTION&lt;&gt;"",PURCHASE_DESCRIPTION&amp;":","")&amp;A7:A48,SMALL(IF(ISNUMBER(AE7:AE48),IF(AE7:AE48&gt;0,IF(AH7:AH48&lt;&gt;"",ROW(AE7:AE48)-MIN(ROW(AE7:AE48))+1))),ROW()-ROW(A$51)+1)),"|",";")," ","_")),"")</f>
        <v>0</v>
      </c>
      <c r="AJ72">
        <f t="array" ref="AJ72">IFERROR(CONCATENATE(INDEX(AM7:AM48,SMALL(IF(ISNUMBER(AJ7:AJ48),IF(AJ7:AJ48&gt;0,IF(AM7:AM48&lt;&gt;"",ROW(AJ7:AJ48)-MIN(ROW(AJ7:AJ48))+1))),ROW()-ROW(A$51)+1)),",",TEXT(INDEX(AJ7:AJ48,SMALL(IF(ISNUMBER(AJ7:AJ48),IF(AJ7:AJ48&gt;0,IF(AM7:AM48&lt;&gt;"",ROW(AJ7:AJ48)-MIN(ROW(AJ7:AJ48))+1))),ROW()-ROW(A$51)+1)),"##0"),",",SUBSTITUTE(INDEX(IF(PURCHASE_DESCRIPTION&lt;&gt;"",PURCHASE_DESCRIPTION&amp;":","")&amp;A7:A48,SMALL(IF(ISNUMBER(AJ7:AJ48),IF(AJ7:AJ48&gt;0,IF(AM7:AM48&lt;&gt;"",ROW(AJ7:AJ48)-MIN(ROW(AJ7:AJ48))+1))),ROW()-ROW(A$51)+1)),",",";")),"")</f>
        <v>0</v>
      </c>
      <c r="AO72">
        <f t="array" ref="AO72">IFERROR(CONCATENATE(INDEX(AR7:AR48,SMALL(IF(ISNUMBER(AO7:AO48),IF(AO7:AO48&gt;0,IF(AR7:AR48&lt;&gt;"",ROW(AO7:AO48)-MIN(ROW(AO7:AO48))+1))),ROW()-ROW(A$51)+1))," ",TEXT(INDEX(AO7:AO48,SMALL(IF(ISNUMBER(AO7:AO48),IF(AO7:AO48&gt;0,IF(AR7:AR48&lt;&gt;"",ROW(AO7:AO48)-MIN(ROW(AO7:AO48))+1))),ROW()-ROW(A$51)+1)),"##0")," ",SUBSTITUTE(INDEX(IF(PURCHASE_DESCRIPTION&lt;&gt;"",PURCHASE_DESCRIPTION&amp;":","")&amp;A7:A48,SMALL(IF(ISNUMBER(AO7:AO48),IF(AO7:AO48&gt;0,IF(AR7:AR48&lt;&gt;"",ROW(AO7:AO48)-MIN(ROW(AO7:AO48))+1))),ROW()-ROW(A$51)+1))," ",";")),"")</f>
        <v>0</v>
      </c>
      <c r="AT72">
        <f t="array" ref="AT72">IFERROR(CONCATENATE(INDEX(AW7:AW48,SMALL(IF(ISNUMBER(AT7:AT48),IF(AT7:AT48&gt;0,IF(AW7:AW48&lt;&gt;"",ROW(AT7:AT48)-MIN(ROW(AT7:AT48))+1))),ROW()-ROW(A$51)+1))," ",TEXT(INDEX(AT7:AT48,SMALL(IF(ISNUMBER(AT7:AT48),IF(AT7:AT48&gt;0,IF(AW7:AW48&lt;&gt;"",ROW(AT7:AT48)-MIN(ROW(AT7:AT48))+1))),ROW()-ROW(A$51)+1)),"##0")," ",SUBSTITUTE(INDEX(IF(PURCHASE_DESCRIPTION&lt;&gt;"",PURCHASE_DESCRIPTION&amp;":","")&amp;A7:A48,SMALL(IF(ISNUMBER(AT7:AT48),IF(AT7:AT48&gt;0,IF(AW7:AW48&lt;&gt;"",ROW(AT7:AT48)-MIN(ROW(AT7:AT48))+1))),ROW()-ROW(A$51)+1))," ",";")),"")</f>
        <v>0</v>
      </c>
    </row>
    <row r="73" spans="11:46">
      <c r="K73">
        <f t="array" ref="K73">IFERROR(CONCATENATE(INDEX(N7:N48,SMALL(IF(ISNUMBER(K7:K48),IF(K7:K48&gt;0,IF(N7:N48&lt;&gt;"",ROW(K7:K48)-MIN(ROW(K7:K48))+1))),ROW()-ROW(A$51)+1)),",",TEXT(INDEX(K7:K48,SMALL(IF(ISNUMBER(K7:K48),IF(K7:K48&gt;0,IF(N7:N48&lt;&gt;"",ROW(K7:K48)-MIN(ROW(K7:K48))+1))),ROW()-ROW(A$51)+1)),"##0"),",",SUBSTITUTE(INDEX(IF(PURCHASE_DESCRIPTION&lt;&gt;"",PURCHASE_DESCRIPTION&amp;":","")&amp;A7:A48,SMALL(IF(ISNUMBER(K7:K48),IF(K7:K48&gt;0,IF(N7:N48&lt;&gt;"",ROW(K7:K48)-MIN(ROW(K7:K48))+1))),ROW()-ROW(A$51)+1)),",",";")),"")</f>
        <v>0</v>
      </c>
      <c r="P73">
        <f t="array" ref="P73">IFERROR(CONCATENATE(TEXT(INDEX(P7:P48,SMALL(IF(ISNUMBER(P7:P48),IF(P7:P48&gt;0,IF(S7:S48&lt;&gt;"",ROW(P7:P48)-MIN(ROW(P7:P48))+1))),ROW()-ROW(A$51)+1)),"##0"),",",INDEX(S7:S48,SMALL(IF(ISNUMBER(P7:P48),IF(P7:P48&gt;0,IF(S7:S48&lt;&gt;"",ROW(P7:P48)-MIN(ROW(P7:P48))+1))),ROW()-ROW(A$51)+1)),",",SUBSTITUTE(INDEX(IF(PURCHASE_DESCRIPTION&lt;&gt;"",PURCHASE_DESCRIPTION&amp;":","")&amp;A7:A48,SMALL(IF(ISNUMBER(P7:P48),IF(P7:P48&gt;0,IF(S7:S48&lt;&gt;"",ROW(P7:P48)-MIN(ROW(P7:P48))+1))),ROW()-ROW(A$51)+1)),",",";")),"")</f>
        <v>0</v>
      </c>
      <c r="U73">
        <f t="array" ref="U73">IFERROR(CONCATENATE(INDEX(X7:X48,SMALL(IF(ISNUMBER(U7:U48),IF(U7:U48&gt;0,IF(X7:X48&lt;&gt;"",ROW(U7:U48)-MIN(ROW(U7:U48))+1))),ROW()-ROW(A$51)+1))," ",TEXT(INDEX(U7:U48,SMALL(IF(ISNUMBER(U7:U48),IF(U7:U48&gt;0,IF(X7:X48&lt;&gt;"",ROW(U7:U48)-MIN(ROW(U7:U48))+1))),ROW()-ROW(A$51)+1)),"##0")," ",SUBSTITUTE(INDEX(IF(PURCHASE_DESCRIPTION&lt;&gt;"",PURCHASE_DESCRIPTION&amp;":","")&amp;A7:A48,SMALL(IF(ISNUMBER(U7:U48),IF(U7:U48&gt;0,IF(X7:X48&lt;&gt;"",ROW(U7:U48)-MIN(ROW(U7:U48))+1))),ROW()-ROW(A$51)+1))," ",";")),"")</f>
        <v>0</v>
      </c>
      <c r="Z73">
        <f t="array" ref="Z73">IFERROR(CONCATENATE(TEXT(INDEX(Z7:Z48,SMALL(IF(ISNUMBER(Z7:Z48),IF(Z7:Z48&gt;0,IF(AC7:AC48&lt;&gt;"",ROW(Z7:Z48)-MIN(ROW(Z7:Z48))+1))),ROW()-ROW(A$52)+1)),"##0"),",",SUBSTITUTE(INDEX(IF(PURCHASE_DESCRIPTION&lt;&gt;"",PURCHASE_DESCRIPTION&amp;":","")&amp;A7:A48,SMALL(IF(ISNUMBER(Z7:Z48),IF(Z7:Z48&gt;0,IF(AC7:AC48&lt;&gt;"",ROW(Z7:Z48)-MIN(ROW(Z7:Z48))+1))),ROW()-ROW(A$52)+1)),",",";"),",",SUBSTITUTE(INDEX(IF(PURCHASE_DESCRIPTION&lt;&gt;"",PURCHASE_DESCRIPTION&amp;":","")&amp;D7:D48,SMALL(IF(ISNUMBER(Z7:Z48),IF(Z7:Z48&gt;0,IF(AC7:AC48&lt;&gt;"",ROW(Z7:Z48)-MIN(ROW(Z7:Z48))+1))),ROW()-ROW(A$52)+1)),",",";"),",",INDEX(AC7:AC48,SMALL(IF(ISNUMBER(Z7:Z48),IF(Z7:Z48&gt;0,IF(AC7:AC48&lt;&gt;"",ROW(Z7:Z48)-MIN(ROW(Z7:Z48))+1))),ROW()-ROW(A$52)+1))),"")</f>
        <v>0</v>
      </c>
      <c r="AE73">
        <f t="array" ref="AE73">IFERROR(CONCATENATE(INDEX(AH7:AH48,SMALL(IF(ISNUMBER(AE7:AE48),IF(AE7:AE48&gt;0,IF(AH7:AH48&lt;&gt;"",ROW(AE7:AE48)-MIN(ROW(AE7:AE48))+1))),ROW()-ROW(A$51)+1)),"|",TEXT(INDEX(AE7:AE48,SMALL(IF(ISNUMBER(AE7:AE48),IF(AE7:AE48&gt;0,IF(AH7:AH48&lt;&gt;"",ROW(AE7:AE48)-MIN(ROW(AE7:AE48))+1))),ROW()-ROW(A$51)+1)),"##0"),"|",SUBSTITUTE(SUBSTITUTE(INDEX(IF(PURCHASE_DESCRIPTION&lt;&gt;"",PURCHASE_DESCRIPTION&amp;":","")&amp;A7:A48,SMALL(IF(ISNUMBER(AE7:AE48),IF(AE7:AE48&gt;0,IF(AH7:AH48&lt;&gt;"",ROW(AE7:AE48)-MIN(ROW(AE7:AE48))+1))),ROW()-ROW(A$51)+1)),"|",";")," ","_")),"")</f>
        <v>0</v>
      </c>
      <c r="AJ73">
        <f t="array" ref="AJ73">IFERROR(CONCATENATE(INDEX(AM7:AM48,SMALL(IF(ISNUMBER(AJ7:AJ48),IF(AJ7:AJ48&gt;0,IF(AM7:AM48&lt;&gt;"",ROW(AJ7:AJ48)-MIN(ROW(AJ7:AJ48))+1))),ROW()-ROW(A$51)+1)),",",TEXT(INDEX(AJ7:AJ48,SMALL(IF(ISNUMBER(AJ7:AJ48),IF(AJ7:AJ48&gt;0,IF(AM7:AM48&lt;&gt;"",ROW(AJ7:AJ48)-MIN(ROW(AJ7:AJ48))+1))),ROW()-ROW(A$51)+1)),"##0"),",",SUBSTITUTE(INDEX(IF(PURCHASE_DESCRIPTION&lt;&gt;"",PURCHASE_DESCRIPTION&amp;":","")&amp;A7:A48,SMALL(IF(ISNUMBER(AJ7:AJ48),IF(AJ7:AJ48&gt;0,IF(AM7:AM48&lt;&gt;"",ROW(AJ7:AJ48)-MIN(ROW(AJ7:AJ48))+1))),ROW()-ROW(A$51)+1)),",",";")),"")</f>
        <v>0</v>
      </c>
      <c r="AO73">
        <f t="array" ref="AO73">IFERROR(CONCATENATE(INDEX(AR7:AR48,SMALL(IF(ISNUMBER(AO7:AO48),IF(AO7:AO48&gt;0,IF(AR7:AR48&lt;&gt;"",ROW(AO7:AO48)-MIN(ROW(AO7:AO48))+1))),ROW()-ROW(A$51)+1))," ",TEXT(INDEX(AO7:AO48,SMALL(IF(ISNUMBER(AO7:AO48),IF(AO7:AO48&gt;0,IF(AR7:AR48&lt;&gt;"",ROW(AO7:AO48)-MIN(ROW(AO7:AO48))+1))),ROW()-ROW(A$51)+1)),"##0")," ",SUBSTITUTE(INDEX(IF(PURCHASE_DESCRIPTION&lt;&gt;"",PURCHASE_DESCRIPTION&amp;":","")&amp;A7:A48,SMALL(IF(ISNUMBER(AO7:AO48),IF(AO7:AO48&gt;0,IF(AR7:AR48&lt;&gt;"",ROW(AO7:AO48)-MIN(ROW(AO7:AO48))+1))),ROW()-ROW(A$51)+1))," ",";")),"")</f>
        <v>0</v>
      </c>
      <c r="AT73">
        <f t="array" ref="AT73">IFERROR(CONCATENATE(INDEX(AW7:AW48,SMALL(IF(ISNUMBER(AT7:AT48),IF(AT7:AT48&gt;0,IF(AW7:AW48&lt;&gt;"",ROW(AT7:AT48)-MIN(ROW(AT7:AT48))+1))),ROW()-ROW(A$51)+1))," ",TEXT(INDEX(AT7:AT48,SMALL(IF(ISNUMBER(AT7:AT48),IF(AT7:AT48&gt;0,IF(AW7:AW48&lt;&gt;"",ROW(AT7:AT48)-MIN(ROW(AT7:AT48))+1))),ROW()-ROW(A$51)+1)),"##0")," ",SUBSTITUTE(INDEX(IF(PURCHASE_DESCRIPTION&lt;&gt;"",PURCHASE_DESCRIPTION&amp;":","")&amp;A7:A48,SMALL(IF(ISNUMBER(AT7:AT48),IF(AT7:AT48&gt;0,IF(AW7:AW48&lt;&gt;"",ROW(AT7:AT48)-MIN(ROW(AT7:AT48))+1))),ROW()-ROW(A$51)+1))," ",";")),"")</f>
        <v>0</v>
      </c>
    </row>
    <row r="74" spans="11:46">
      <c r="K74">
        <f t="array" ref="K74">IFERROR(CONCATENATE(INDEX(N7:N48,SMALL(IF(ISNUMBER(K7:K48),IF(K7:K48&gt;0,IF(N7:N48&lt;&gt;"",ROW(K7:K48)-MIN(ROW(K7:K48))+1))),ROW()-ROW(A$51)+1)),",",TEXT(INDEX(K7:K48,SMALL(IF(ISNUMBER(K7:K48),IF(K7:K48&gt;0,IF(N7:N48&lt;&gt;"",ROW(K7:K48)-MIN(ROW(K7:K48))+1))),ROW()-ROW(A$51)+1)),"##0"),",",SUBSTITUTE(INDEX(IF(PURCHASE_DESCRIPTION&lt;&gt;"",PURCHASE_DESCRIPTION&amp;":","")&amp;A7:A48,SMALL(IF(ISNUMBER(K7:K48),IF(K7:K48&gt;0,IF(N7:N48&lt;&gt;"",ROW(K7:K48)-MIN(ROW(K7:K48))+1))),ROW()-ROW(A$51)+1)),",",";")),"")</f>
        <v>0</v>
      </c>
      <c r="P74">
        <f t="array" ref="P74">IFERROR(CONCATENATE(TEXT(INDEX(P7:P48,SMALL(IF(ISNUMBER(P7:P48),IF(P7:P48&gt;0,IF(S7:S48&lt;&gt;"",ROW(P7:P48)-MIN(ROW(P7:P48))+1))),ROW()-ROW(A$51)+1)),"##0"),",",INDEX(S7:S48,SMALL(IF(ISNUMBER(P7:P48),IF(P7:P48&gt;0,IF(S7:S48&lt;&gt;"",ROW(P7:P48)-MIN(ROW(P7:P48))+1))),ROW()-ROW(A$51)+1)),",",SUBSTITUTE(INDEX(IF(PURCHASE_DESCRIPTION&lt;&gt;"",PURCHASE_DESCRIPTION&amp;":","")&amp;A7:A48,SMALL(IF(ISNUMBER(P7:P48),IF(P7:P48&gt;0,IF(S7:S48&lt;&gt;"",ROW(P7:P48)-MIN(ROW(P7:P48))+1))),ROW()-ROW(A$51)+1)),",",";")),"")</f>
        <v>0</v>
      </c>
      <c r="U74">
        <f t="array" ref="U74">IFERROR(CONCATENATE(INDEX(X7:X48,SMALL(IF(ISNUMBER(U7:U48),IF(U7:U48&gt;0,IF(X7:X48&lt;&gt;"",ROW(U7:U48)-MIN(ROW(U7:U48))+1))),ROW()-ROW(A$51)+1))," ",TEXT(INDEX(U7:U48,SMALL(IF(ISNUMBER(U7:U48),IF(U7:U48&gt;0,IF(X7:X48&lt;&gt;"",ROW(U7:U48)-MIN(ROW(U7:U48))+1))),ROW()-ROW(A$51)+1)),"##0")," ",SUBSTITUTE(INDEX(IF(PURCHASE_DESCRIPTION&lt;&gt;"",PURCHASE_DESCRIPTION&amp;":","")&amp;A7:A48,SMALL(IF(ISNUMBER(U7:U48),IF(U7:U48&gt;0,IF(X7:X48&lt;&gt;"",ROW(U7:U48)-MIN(ROW(U7:U48))+1))),ROW()-ROW(A$51)+1))," ",";")),"")</f>
        <v>0</v>
      </c>
      <c r="Z74">
        <f t="array" ref="Z74">IFERROR(CONCATENATE(TEXT(INDEX(Z7:Z48,SMALL(IF(ISNUMBER(Z7:Z48),IF(Z7:Z48&gt;0,IF(AC7:AC48&lt;&gt;"",ROW(Z7:Z48)-MIN(ROW(Z7:Z48))+1))),ROW()-ROW(A$52)+1)),"##0"),",",SUBSTITUTE(INDEX(IF(PURCHASE_DESCRIPTION&lt;&gt;"",PURCHASE_DESCRIPTION&amp;":","")&amp;A7:A48,SMALL(IF(ISNUMBER(Z7:Z48),IF(Z7:Z48&gt;0,IF(AC7:AC48&lt;&gt;"",ROW(Z7:Z48)-MIN(ROW(Z7:Z48))+1))),ROW()-ROW(A$52)+1)),",",";"),",",SUBSTITUTE(INDEX(IF(PURCHASE_DESCRIPTION&lt;&gt;"",PURCHASE_DESCRIPTION&amp;":","")&amp;D7:D48,SMALL(IF(ISNUMBER(Z7:Z48),IF(Z7:Z48&gt;0,IF(AC7:AC48&lt;&gt;"",ROW(Z7:Z48)-MIN(ROW(Z7:Z48))+1))),ROW()-ROW(A$52)+1)),",",";"),",",INDEX(AC7:AC48,SMALL(IF(ISNUMBER(Z7:Z48),IF(Z7:Z48&gt;0,IF(AC7:AC48&lt;&gt;"",ROW(Z7:Z48)-MIN(ROW(Z7:Z48))+1))),ROW()-ROW(A$52)+1))),"")</f>
        <v>0</v>
      </c>
      <c r="AE74">
        <f t="array" ref="AE74">IFERROR(CONCATENATE(INDEX(AH7:AH48,SMALL(IF(ISNUMBER(AE7:AE48),IF(AE7:AE48&gt;0,IF(AH7:AH48&lt;&gt;"",ROW(AE7:AE48)-MIN(ROW(AE7:AE48))+1))),ROW()-ROW(A$51)+1)),"|",TEXT(INDEX(AE7:AE48,SMALL(IF(ISNUMBER(AE7:AE48),IF(AE7:AE48&gt;0,IF(AH7:AH48&lt;&gt;"",ROW(AE7:AE48)-MIN(ROW(AE7:AE48))+1))),ROW()-ROW(A$51)+1)),"##0"),"|",SUBSTITUTE(SUBSTITUTE(INDEX(IF(PURCHASE_DESCRIPTION&lt;&gt;"",PURCHASE_DESCRIPTION&amp;":","")&amp;A7:A48,SMALL(IF(ISNUMBER(AE7:AE48),IF(AE7:AE48&gt;0,IF(AH7:AH48&lt;&gt;"",ROW(AE7:AE48)-MIN(ROW(AE7:AE48))+1))),ROW()-ROW(A$51)+1)),"|",";")," ","_")),"")</f>
        <v>0</v>
      </c>
      <c r="AJ74">
        <f t="array" ref="AJ74">IFERROR(CONCATENATE(INDEX(AM7:AM48,SMALL(IF(ISNUMBER(AJ7:AJ48),IF(AJ7:AJ48&gt;0,IF(AM7:AM48&lt;&gt;"",ROW(AJ7:AJ48)-MIN(ROW(AJ7:AJ48))+1))),ROW()-ROW(A$51)+1)),",",TEXT(INDEX(AJ7:AJ48,SMALL(IF(ISNUMBER(AJ7:AJ48),IF(AJ7:AJ48&gt;0,IF(AM7:AM48&lt;&gt;"",ROW(AJ7:AJ48)-MIN(ROW(AJ7:AJ48))+1))),ROW()-ROW(A$51)+1)),"##0"),",",SUBSTITUTE(INDEX(IF(PURCHASE_DESCRIPTION&lt;&gt;"",PURCHASE_DESCRIPTION&amp;":","")&amp;A7:A48,SMALL(IF(ISNUMBER(AJ7:AJ48),IF(AJ7:AJ48&gt;0,IF(AM7:AM48&lt;&gt;"",ROW(AJ7:AJ48)-MIN(ROW(AJ7:AJ48))+1))),ROW()-ROW(A$51)+1)),",",";")),"")</f>
        <v>0</v>
      </c>
      <c r="AO74">
        <f t="array" ref="AO74">IFERROR(CONCATENATE(INDEX(AR7:AR48,SMALL(IF(ISNUMBER(AO7:AO48),IF(AO7:AO48&gt;0,IF(AR7:AR48&lt;&gt;"",ROW(AO7:AO48)-MIN(ROW(AO7:AO48))+1))),ROW()-ROW(A$51)+1))," ",TEXT(INDEX(AO7:AO48,SMALL(IF(ISNUMBER(AO7:AO48),IF(AO7:AO48&gt;0,IF(AR7:AR48&lt;&gt;"",ROW(AO7:AO48)-MIN(ROW(AO7:AO48))+1))),ROW()-ROW(A$51)+1)),"##0")," ",SUBSTITUTE(INDEX(IF(PURCHASE_DESCRIPTION&lt;&gt;"",PURCHASE_DESCRIPTION&amp;":","")&amp;A7:A48,SMALL(IF(ISNUMBER(AO7:AO48),IF(AO7:AO48&gt;0,IF(AR7:AR48&lt;&gt;"",ROW(AO7:AO48)-MIN(ROW(AO7:AO48))+1))),ROW()-ROW(A$51)+1))," ",";")),"")</f>
        <v>0</v>
      </c>
      <c r="AT74">
        <f t="array" ref="AT74">IFERROR(CONCATENATE(INDEX(AW7:AW48,SMALL(IF(ISNUMBER(AT7:AT48),IF(AT7:AT48&gt;0,IF(AW7:AW48&lt;&gt;"",ROW(AT7:AT48)-MIN(ROW(AT7:AT48))+1))),ROW()-ROW(A$51)+1))," ",TEXT(INDEX(AT7:AT48,SMALL(IF(ISNUMBER(AT7:AT48),IF(AT7:AT48&gt;0,IF(AW7:AW48&lt;&gt;"",ROW(AT7:AT48)-MIN(ROW(AT7:AT48))+1))),ROW()-ROW(A$51)+1)),"##0")," ",SUBSTITUTE(INDEX(IF(PURCHASE_DESCRIPTION&lt;&gt;"",PURCHASE_DESCRIPTION&amp;":","")&amp;A7:A48,SMALL(IF(ISNUMBER(AT7:AT48),IF(AT7:AT48&gt;0,IF(AW7:AW48&lt;&gt;"",ROW(AT7:AT48)-MIN(ROW(AT7:AT48))+1))),ROW()-ROW(A$51)+1))," ",";")),"")</f>
        <v>0</v>
      </c>
    </row>
    <row r="75" spans="11:46">
      <c r="K75">
        <f t="array" ref="K75">IFERROR(CONCATENATE(INDEX(N7:N48,SMALL(IF(ISNUMBER(K7:K48),IF(K7:K48&gt;0,IF(N7:N48&lt;&gt;"",ROW(K7:K48)-MIN(ROW(K7:K48))+1))),ROW()-ROW(A$51)+1)),",",TEXT(INDEX(K7:K48,SMALL(IF(ISNUMBER(K7:K48),IF(K7:K48&gt;0,IF(N7:N48&lt;&gt;"",ROW(K7:K48)-MIN(ROW(K7:K48))+1))),ROW()-ROW(A$51)+1)),"##0"),",",SUBSTITUTE(INDEX(IF(PURCHASE_DESCRIPTION&lt;&gt;"",PURCHASE_DESCRIPTION&amp;":","")&amp;A7:A48,SMALL(IF(ISNUMBER(K7:K48),IF(K7:K48&gt;0,IF(N7:N48&lt;&gt;"",ROW(K7:K48)-MIN(ROW(K7:K48))+1))),ROW()-ROW(A$51)+1)),",",";")),"")</f>
        <v>0</v>
      </c>
      <c r="P75">
        <f t="array" ref="P75">IFERROR(CONCATENATE(TEXT(INDEX(P7:P48,SMALL(IF(ISNUMBER(P7:P48),IF(P7:P48&gt;0,IF(S7:S48&lt;&gt;"",ROW(P7:P48)-MIN(ROW(P7:P48))+1))),ROW()-ROW(A$51)+1)),"##0"),",",INDEX(S7:S48,SMALL(IF(ISNUMBER(P7:P48),IF(P7:P48&gt;0,IF(S7:S48&lt;&gt;"",ROW(P7:P48)-MIN(ROW(P7:P48))+1))),ROW()-ROW(A$51)+1)),",",SUBSTITUTE(INDEX(IF(PURCHASE_DESCRIPTION&lt;&gt;"",PURCHASE_DESCRIPTION&amp;":","")&amp;A7:A48,SMALL(IF(ISNUMBER(P7:P48),IF(P7:P48&gt;0,IF(S7:S48&lt;&gt;"",ROW(P7:P48)-MIN(ROW(P7:P48))+1))),ROW()-ROW(A$51)+1)),",",";")),"")</f>
        <v>0</v>
      </c>
      <c r="U75">
        <f t="array" ref="U75">IFERROR(CONCATENATE(INDEX(X7:X48,SMALL(IF(ISNUMBER(U7:U48),IF(U7:U48&gt;0,IF(X7:X48&lt;&gt;"",ROW(U7:U48)-MIN(ROW(U7:U48))+1))),ROW()-ROW(A$51)+1))," ",TEXT(INDEX(U7:U48,SMALL(IF(ISNUMBER(U7:U48),IF(U7:U48&gt;0,IF(X7:X48&lt;&gt;"",ROW(U7:U48)-MIN(ROW(U7:U48))+1))),ROW()-ROW(A$51)+1)),"##0")," ",SUBSTITUTE(INDEX(IF(PURCHASE_DESCRIPTION&lt;&gt;"",PURCHASE_DESCRIPTION&amp;":","")&amp;A7:A48,SMALL(IF(ISNUMBER(U7:U48),IF(U7:U48&gt;0,IF(X7:X48&lt;&gt;"",ROW(U7:U48)-MIN(ROW(U7:U48))+1))),ROW()-ROW(A$51)+1))," ",";")),"")</f>
        <v>0</v>
      </c>
      <c r="Z75">
        <f t="array" ref="Z75">IFERROR(CONCATENATE(TEXT(INDEX(Z7:Z48,SMALL(IF(ISNUMBER(Z7:Z48),IF(Z7:Z48&gt;0,IF(AC7:AC48&lt;&gt;"",ROW(Z7:Z48)-MIN(ROW(Z7:Z48))+1))),ROW()-ROW(A$52)+1)),"##0"),",",SUBSTITUTE(INDEX(IF(PURCHASE_DESCRIPTION&lt;&gt;"",PURCHASE_DESCRIPTION&amp;":","")&amp;A7:A48,SMALL(IF(ISNUMBER(Z7:Z48),IF(Z7:Z48&gt;0,IF(AC7:AC48&lt;&gt;"",ROW(Z7:Z48)-MIN(ROW(Z7:Z48))+1))),ROW()-ROW(A$52)+1)),",",";"),",",SUBSTITUTE(INDEX(IF(PURCHASE_DESCRIPTION&lt;&gt;"",PURCHASE_DESCRIPTION&amp;":","")&amp;D7:D48,SMALL(IF(ISNUMBER(Z7:Z48),IF(Z7:Z48&gt;0,IF(AC7:AC48&lt;&gt;"",ROW(Z7:Z48)-MIN(ROW(Z7:Z48))+1))),ROW()-ROW(A$52)+1)),",",";"),",",INDEX(AC7:AC48,SMALL(IF(ISNUMBER(Z7:Z48),IF(Z7:Z48&gt;0,IF(AC7:AC48&lt;&gt;"",ROW(Z7:Z48)-MIN(ROW(Z7:Z48))+1))),ROW()-ROW(A$52)+1))),"")</f>
        <v>0</v>
      </c>
      <c r="AE75">
        <f t="array" ref="AE75">IFERROR(CONCATENATE(INDEX(AH7:AH48,SMALL(IF(ISNUMBER(AE7:AE48),IF(AE7:AE48&gt;0,IF(AH7:AH48&lt;&gt;"",ROW(AE7:AE48)-MIN(ROW(AE7:AE48))+1))),ROW()-ROW(A$51)+1)),"|",TEXT(INDEX(AE7:AE48,SMALL(IF(ISNUMBER(AE7:AE48),IF(AE7:AE48&gt;0,IF(AH7:AH48&lt;&gt;"",ROW(AE7:AE48)-MIN(ROW(AE7:AE48))+1))),ROW()-ROW(A$51)+1)),"##0"),"|",SUBSTITUTE(SUBSTITUTE(INDEX(IF(PURCHASE_DESCRIPTION&lt;&gt;"",PURCHASE_DESCRIPTION&amp;":","")&amp;A7:A48,SMALL(IF(ISNUMBER(AE7:AE48),IF(AE7:AE48&gt;0,IF(AH7:AH48&lt;&gt;"",ROW(AE7:AE48)-MIN(ROW(AE7:AE48))+1))),ROW()-ROW(A$51)+1)),"|",";")," ","_")),"")</f>
        <v>0</v>
      </c>
      <c r="AJ75">
        <f t="array" ref="AJ75">IFERROR(CONCATENATE(INDEX(AM7:AM48,SMALL(IF(ISNUMBER(AJ7:AJ48),IF(AJ7:AJ48&gt;0,IF(AM7:AM48&lt;&gt;"",ROW(AJ7:AJ48)-MIN(ROW(AJ7:AJ48))+1))),ROW()-ROW(A$51)+1)),",",TEXT(INDEX(AJ7:AJ48,SMALL(IF(ISNUMBER(AJ7:AJ48),IF(AJ7:AJ48&gt;0,IF(AM7:AM48&lt;&gt;"",ROW(AJ7:AJ48)-MIN(ROW(AJ7:AJ48))+1))),ROW()-ROW(A$51)+1)),"##0"),",",SUBSTITUTE(INDEX(IF(PURCHASE_DESCRIPTION&lt;&gt;"",PURCHASE_DESCRIPTION&amp;":","")&amp;A7:A48,SMALL(IF(ISNUMBER(AJ7:AJ48),IF(AJ7:AJ48&gt;0,IF(AM7:AM48&lt;&gt;"",ROW(AJ7:AJ48)-MIN(ROW(AJ7:AJ48))+1))),ROW()-ROW(A$51)+1)),",",";")),"")</f>
        <v>0</v>
      </c>
      <c r="AO75">
        <f t="array" ref="AO75">IFERROR(CONCATENATE(INDEX(AR7:AR48,SMALL(IF(ISNUMBER(AO7:AO48),IF(AO7:AO48&gt;0,IF(AR7:AR48&lt;&gt;"",ROW(AO7:AO48)-MIN(ROW(AO7:AO48))+1))),ROW()-ROW(A$51)+1))," ",TEXT(INDEX(AO7:AO48,SMALL(IF(ISNUMBER(AO7:AO48),IF(AO7:AO48&gt;0,IF(AR7:AR48&lt;&gt;"",ROW(AO7:AO48)-MIN(ROW(AO7:AO48))+1))),ROW()-ROW(A$51)+1)),"##0")," ",SUBSTITUTE(INDEX(IF(PURCHASE_DESCRIPTION&lt;&gt;"",PURCHASE_DESCRIPTION&amp;":","")&amp;A7:A48,SMALL(IF(ISNUMBER(AO7:AO48),IF(AO7:AO48&gt;0,IF(AR7:AR48&lt;&gt;"",ROW(AO7:AO48)-MIN(ROW(AO7:AO48))+1))),ROW()-ROW(A$51)+1))," ",";")),"")</f>
        <v>0</v>
      </c>
      <c r="AT75">
        <f t="array" ref="AT75">IFERROR(CONCATENATE(INDEX(AW7:AW48,SMALL(IF(ISNUMBER(AT7:AT48),IF(AT7:AT48&gt;0,IF(AW7:AW48&lt;&gt;"",ROW(AT7:AT48)-MIN(ROW(AT7:AT48))+1))),ROW()-ROW(A$51)+1))," ",TEXT(INDEX(AT7:AT48,SMALL(IF(ISNUMBER(AT7:AT48),IF(AT7:AT48&gt;0,IF(AW7:AW48&lt;&gt;"",ROW(AT7:AT48)-MIN(ROW(AT7:AT48))+1))),ROW()-ROW(A$51)+1)),"##0")," ",SUBSTITUTE(INDEX(IF(PURCHASE_DESCRIPTION&lt;&gt;"",PURCHASE_DESCRIPTION&amp;":","")&amp;A7:A48,SMALL(IF(ISNUMBER(AT7:AT48),IF(AT7:AT48&gt;0,IF(AW7:AW48&lt;&gt;"",ROW(AT7:AT48)-MIN(ROW(AT7:AT48))+1))),ROW()-ROW(A$51)+1))," ",";")),"")</f>
        <v>0</v>
      </c>
    </row>
    <row r="76" spans="11:46">
      <c r="K76">
        <f t="array" ref="K76">IFERROR(CONCATENATE(INDEX(N7:N48,SMALL(IF(ISNUMBER(K7:K48),IF(K7:K48&gt;0,IF(N7:N48&lt;&gt;"",ROW(K7:K48)-MIN(ROW(K7:K48))+1))),ROW()-ROW(A$51)+1)),",",TEXT(INDEX(K7:K48,SMALL(IF(ISNUMBER(K7:K48),IF(K7:K48&gt;0,IF(N7:N48&lt;&gt;"",ROW(K7:K48)-MIN(ROW(K7:K48))+1))),ROW()-ROW(A$51)+1)),"##0"),",",SUBSTITUTE(INDEX(IF(PURCHASE_DESCRIPTION&lt;&gt;"",PURCHASE_DESCRIPTION&amp;":","")&amp;A7:A48,SMALL(IF(ISNUMBER(K7:K48),IF(K7:K48&gt;0,IF(N7:N48&lt;&gt;"",ROW(K7:K48)-MIN(ROW(K7:K48))+1))),ROW()-ROW(A$51)+1)),",",";")),"")</f>
        <v>0</v>
      </c>
      <c r="P76">
        <f t="array" ref="P76">IFERROR(CONCATENATE(TEXT(INDEX(P7:P48,SMALL(IF(ISNUMBER(P7:P48),IF(P7:P48&gt;0,IF(S7:S48&lt;&gt;"",ROW(P7:P48)-MIN(ROW(P7:P48))+1))),ROW()-ROW(A$51)+1)),"##0"),",",INDEX(S7:S48,SMALL(IF(ISNUMBER(P7:P48),IF(P7:P48&gt;0,IF(S7:S48&lt;&gt;"",ROW(P7:P48)-MIN(ROW(P7:P48))+1))),ROW()-ROW(A$51)+1)),",",SUBSTITUTE(INDEX(IF(PURCHASE_DESCRIPTION&lt;&gt;"",PURCHASE_DESCRIPTION&amp;":","")&amp;A7:A48,SMALL(IF(ISNUMBER(P7:P48),IF(P7:P48&gt;0,IF(S7:S48&lt;&gt;"",ROW(P7:P48)-MIN(ROW(P7:P48))+1))),ROW()-ROW(A$51)+1)),",",";")),"")</f>
        <v>0</v>
      </c>
      <c r="U76">
        <f t="array" ref="U76">IFERROR(CONCATENATE(INDEX(X7:X48,SMALL(IF(ISNUMBER(U7:U48),IF(U7:U48&gt;0,IF(X7:X48&lt;&gt;"",ROW(U7:U48)-MIN(ROW(U7:U48))+1))),ROW()-ROW(A$51)+1))," ",TEXT(INDEX(U7:U48,SMALL(IF(ISNUMBER(U7:U48),IF(U7:U48&gt;0,IF(X7:X48&lt;&gt;"",ROW(U7:U48)-MIN(ROW(U7:U48))+1))),ROW()-ROW(A$51)+1)),"##0")," ",SUBSTITUTE(INDEX(IF(PURCHASE_DESCRIPTION&lt;&gt;"",PURCHASE_DESCRIPTION&amp;":","")&amp;A7:A48,SMALL(IF(ISNUMBER(U7:U48),IF(U7:U48&gt;0,IF(X7:X48&lt;&gt;"",ROW(U7:U48)-MIN(ROW(U7:U48))+1))),ROW()-ROW(A$51)+1))," ",";")),"")</f>
        <v>0</v>
      </c>
      <c r="Z76">
        <f t="array" ref="Z76">IFERROR(CONCATENATE(TEXT(INDEX(Z7:Z48,SMALL(IF(ISNUMBER(Z7:Z48),IF(Z7:Z48&gt;0,IF(AC7:AC48&lt;&gt;"",ROW(Z7:Z48)-MIN(ROW(Z7:Z48))+1))),ROW()-ROW(A$52)+1)),"##0"),",",SUBSTITUTE(INDEX(IF(PURCHASE_DESCRIPTION&lt;&gt;"",PURCHASE_DESCRIPTION&amp;":","")&amp;A7:A48,SMALL(IF(ISNUMBER(Z7:Z48),IF(Z7:Z48&gt;0,IF(AC7:AC48&lt;&gt;"",ROW(Z7:Z48)-MIN(ROW(Z7:Z48))+1))),ROW()-ROW(A$52)+1)),",",";"),",",SUBSTITUTE(INDEX(IF(PURCHASE_DESCRIPTION&lt;&gt;"",PURCHASE_DESCRIPTION&amp;":","")&amp;D7:D48,SMALL(IF(ISNUMBER(Z7:Z48),IF(Z7:Z48&gt;0,IF(AC7:AC48&lt;&gt;"",ROW(Z7:Z48)-MIN(ROW(Z7:Z48))+1))),ROW()-ROW(A$52)+1)),",",";"),",",INDEX(AC7:AC48,SMALL(IF(ISNUMBER(Z7:Z48),IF(Z7:Z48&gt;0,IF(AC7:AC48&lt;&gt;"",ROW(Z7:Z48)-MIN(ROW(Z7:Z48))+1))),ROW()-ROW(A$52)+1))),"")</f>
        <v>0</v>
      </c>
      <c r="AE76">
        <f t="array" ref="AE76">IFERROR(CONCATENATE(INDEX(AH7:AH48,SMALL(IF(ISNUMBER(AE7:AE48),IF(AE7:AE48&gt;0,IF(AH7:AH48&lt;&gt;"",ROW(AE7:AE48)-MIN(ROW(AE7:AE48))+1))),ROW()-ROW(A$51)+1)),"|",TEXT(INDEX(AE7:AE48,SMALL(IF(ISNUMBER(AE7:AE48),IF(AE7:AE48&gt;0,IF(AH7:AH48&lt;&gt;"",ROW(AE7:AE48)-MIN(ROW(AE7:AE48))+1))),ROW()-ROW(A$51)+1)),"##0"),"|",SUBSTITUTE(SUBSTITUTE(INDEX(IF(PURCHASE_DESCRIPTION&lt;&gt;"",PURCHASE_DESCRIPTION&amp;":","")&amp;A7:A48,SMALL(IF(ISNUMBER(AE7:AE48),IF(AE7:AE48&gt;0,IF(AH7:AH48&lt;&gt;"",ROW(AE7:AE48)-MIN(ROW(AE7:AE48))+1))),ROW()-ROW(A$51)+1)),"|",";")," ","_")),"")</f>
        <v>0</v>
      </c>
      <c r="AJ76">
        <f t="array" ref="AJ76">IFERROR(CONCATENATE(INDEX(AM7:AM48,SMALL(IF(ISNUMBER(AJ7:AJ48),IF(AJ7:AJ48&gt;0,IF(AM7:AM48&lt;&gt;"",ROW(AJ7:AJ48)-MIN(ROW(AJ7:AJ48))+1))),ROW()-ROW(A$51)+1)),",",TEXT(INDEX(AJ7:AJ48,SMALL(IF(ISNUMBER(AJ7:AJ48),IF(AJ7:AJ48&gt;0,IF(AM7:AM48&lt;&gt;"",ROW(AJ7:AJ48)-MIN(ROW(AJ7:AJ48))+1))),ROW()-ROW(A$51)+1)),"##0"),",",SUBSTITUTE(INDEX(IF(PURCHASE_DESCRIPTION&lt;&gt;"",PURCHASE_DESCRIPTION&amp;":","")&amp;A7:A48,SMALL(IF(ISNUMBER(AJ7:AJ48),IF(AJ7:AJ48&gt;0,IF(AM7:AM48&lt;&gt;"",ROW(AJ7:AJ48)-MIN(ROW(AJ7:AJ48))+1))),ROW()-ROW(A$51)+1)),",",";")),"")</f>
        <v>0</v>
      </c>
      <c r="AO76">
        <f t="array" ref="AO76">IFERROR(CONCATENATE(INDEX(AR7:AR48,SMALL(IF(ISNUMBER(AO7:AO48),IF(AO7:AO48&gt;0,IF(AR7:AR48&lt;&gt;"",ROW(AO7:AO48)-MIN(ROW(AO7:AO48))+1))),ROW()-ROW(A$51)+1))," ",TEXT(INDEX(AO7:AO48,SMALL(IF(ISNUMBER(AO7:AO48),IF(AO7:AO48&gt;0,IF(AR7:AR48&lt;&gt;"",ROW(AO7:AO48)-MIN(ROW(AO7:AO48))+1))),ROW()-ROW(A$51)+1)),"##0")," ",SUBSTITUTE(INDEX(IF(PURCHASE_DESCRIPTION&lt;&gt;"",PURCHASE_DESCRIPTION&amp;":","")&amp;A7:A48,SMALL(IF(ISNUMBER(AO7:AO48),IF(AO7:AO48&gt;0,IF(AR7:AR48&lt;&gt;"",ROW(AO7:AO48)-MIN(ROW(AO7:AO48))+1))),ROW()-ROW(A$51)+1))," ",";")),"")</f>
        <v>0</v>
      </c>
      <c r="AT76">
        <f t="array" ref="AT76">IFERROR(CONCATENATE(INDEX(AW7:AW48,SMALL(IF(ISNUMBER(AT7:AT48),IF(AT7:AT48&gt;0,IF(AW7:AW48&lt;&gt;"",ROW(AT7:AT48)-MIN(ROW(AT7:AT48))+1))),ROW()-ROW(A$51)+1))," ",TEXT(INDEX(AT7:AT48,SMALL(IF(ISNUMBER(AT7:AT48),IF(AT7:AT48&gt;0,IF(AW7:AW48&lt;&gt;"",ROW(AT7:AT48)-MIN(ROW(AT7:AT48))+1))),ROW()-ROW(A$51)+1)),"##0")," ",SUBSTITUTE(INDEX(IF(PURCHASE_DESCRIPTION&lt;&gt;"",PURCHASE_DESCRIPTION&amp;":","")&amp;A7:A48,SMALL(IF(ISNUMBER(AT7:AT48),IF(AT7:AT48&gt;0,IF(AW7:AW48&lt;&gt;"",ROW(AT7:AT48)-MIN(ROW(AT7:AT48))+1))),ROW()-ROW(A$51)+1))," ",";")),"")</f>
        <v>0</v>
      </c>
    </row>
    <row r="77" spans="11:46">
      <c r="K77">
        <f t="array" ref="K77">IFERROR(CONCATENATE(INDEX(N7:N48,SMALL(IF(ISNUMBER(K7:K48),IF(K7:K48&gt;0,IF(N7:N48&lt;&gt;"",ROW(K7:K48)-MIN(ROW(K7:K48))+1))),ROW()-ROW(A$51)+1)),",",TEXT(INDEX(K7:K48,SMALL(IF(ISNUMBER(K7:K48),IF(K7:K48&gt;0,IF(N7:N48&lt;&gt;"",ROW(K7:K48)-MIN(ROW(K7:K48))+1))),ROW()-ROW(A$51)+1)),"##0"),",",SUBSTITUTE(INDEX(IF(PURCHASE_DESCRIPTION&lt;&gt;"",PURCHASE_DESCRIPTION&amp;":","")&amp;A7:A48,SMALL(IF(ISNUMBER(K7:K48),IF(K7:K48&gt;0,IF(N7:N48&lt;&gt;"",ROW(K7:K48)-MIN(ROW(K7:K48))+1))),ROW()-ROW(A$51)+1)),",",";")),"")</f>
        <v>0</v>
      </c>
      <c r="P77">
        <f t="array" ref="P77">IFERROR(CONCATENATE(TEXT(INDEX(P7:P48,SMALL(IF(ISNUMBER(P7:P48),IF(P7:P48&gt;0,IF(S7:S48&lt;&gt;"",ROW(P7:P48)-MIN(ROW(P7:P48))+1))),ROW()-ROW(A$51)+1)),"##0"),",",INDEX(S7:S48,SMALL(IF(ISNUMBER(P7:P48),IF(P7:P48&gt;0,IF(S7:S48&lt;&gt;"",ROW(P7:P48)-MIN(ROW(P7:P48))+1))),ROW()-ROW(A$51)+1)),",",SUBSTITUTE(INDEX(IF(PURCHASE_DESCRIPTION&lt;&gt;"",PURCHASE_DESCRIPTION&amp;":","")&amp;A7:A48,SMALL(IF(ISNUMBER(P7:P48),IF(P7:P48&gt;0,IF(S7:S48&lt;&gt;"",ROW(P7:P48)-MIN(ROW(P7:P48))+1))),ROW()-ROW(A$51)+1)),",",";")),"")</f>
        <v>0</v>
      </c>
      <c r="U77">
        <f t="array" ref="U77">IFERROR(CONCATENATE(INDEX(X7:X48,SMALL(IF(ISNUMBER(U7:U48),IF(U7:U48&gt;0,IF(X7:X48&lt;&gt;"",ROW(U7:U48)-MIN(ROW(U7:U48))+1))),ROW()-ROW(A$51)+1))," ",TEXT(INDEX(U7:U48,SMALL(IF(ISNUMBER(U7:U48),IF(U7:U48&gt;0,IF(X7:X48&lt;&gt;"",ROW(U7:U48)-MIN(ROW(U7:U48))+1))),ROW()-ROW(A$51)+1)),"##0")," ",SUBSTITUTE(INDEX(IF(PURCHASE_DESCRIPTION&lt;&gt;"",PURCHASE_DESCRIPTION&amp;":","")&amp;A7:A48,SMALL(IF(ISNUMBER(U7:U48),IF(U7:U48&gt;0,IF(X7:X48&lt;&gt;"",ROW(U7:U48)-MIN(ROW(U7:U48))+1))),ROW()-ROW(A$51)+1))," ",";")),"")</f>
        <v>0</v>
      </c>
      <c r="Z77">
        <f t="array" ref="Z77">IFERROR(CONCATENATE(TEXT(INDEX(Z7:Z48,SMALL(IF(ISNUMBER(Z7:Z48),IF(Z7:Z48&gt;0,IF(AC7:AC48&lt;&gt;"",ROW(Z7:Z48)-MIN(ROW(Z7:Z48))+1))),ROW()-ROW(A$52)+1)),"##0"),",",SUBSTITUTE(INDEX(IF(PURCHASE_DESCRIPTION&lt;&gt;"",PURCHASE_DESCRIPTION&amp;":","")&amp;A7:A48,SMALL(IF(ISNUMBER(Z7:Z48),IF(Z7:Z48&gt;0,IF(AC7:AC48&lt;&gt;"",ROW(Z7:Z48)-MIN(ROW(Z7:Z48))+1))),ROW()-ROW(A$52)+1)),",",";"),",",SUBSTITUTE(INDEX(IF(PURCHASE_DESCRIPTION&lt;&gt;"",PURCHASE_DESCRIPTION&amp;":","")&amp;D7:D48,SMALL(IF(ISNUMBER(Z7:Z48),IF(Z7:Z48&gt;0,IF(AC7:AC48&lt;&gt;"",ROW(Z7:Z48)-MIN(ROW(Z7:Z48))+1))),ROW()-ROW(A$52)+1)),",",";"),",",INDEX(AC7:AC48,SMALL(IF(ISNUMBER(Z7:Z48),IF(Z7:Z48&gt;0,IF(AC7:AC48&lt;&gt;"",ROW(Z7:Z48)-MIN(ROW(Z7:Z48))+1))),ROW()-ROW(A$52)+1))),"")</f>
        <v>0</v>
      </c>
      <c r="AE77">
        <f t="array" ref="AE77">IFERROR(CONCATENATE(INDEX(AH7:AH48,SMALL(IF(ISNUMBER(AE7:AE48),IF(AE7:AE48&gt;0,IF(AH7:AH48&lt;&gt;"",ROW(AE7:AE48)-MIN(ROW(AE7:AE48))+1))),ROW()-ROW(A$51)+1)),"|",TEXT(INDEX(AE7:AE48,SMALL(IF(ISNUMBER(AE7:AE48),IF(AE7:AE48&gt;0,IF(AH7:AH48&lt;&gt;"",ROW(AE7:AE48)-MIN(ROW(AE7:AE48))+1))),ROW()-ROW(A$51)+1)),"##0"),"|",SUBSTITUTE(SUBSTITUTE(INDEX(IF(PURCHASE_DESCRIPTION&lt;&gt;"",PURCHASE_DESCRIPTION&amp;":","")&amp;A7:A48,SMALL(IF(ISNUMBER(AE7:AE48),IF(AE7:AE48&gt;0,IF(AH7:AH48&lt;&gt;"",ROW(AE7:AE48)-MIN(ROW(AE7:AE48))+1))),ROW()-ROW(A$51)+1)),"|",";")," ","_")),"")</f>
        <v>0</v>
      </c>
      <c r="AJ77">
        <f t="array" ref="AJ77">IFERROR(CONCATENATE(INDEX(AM7:AM48,SMALL(IF(ISNUMBER(AJ7:AJ48),IF(AJ7:AJ48&gt;0,IF(AM7:AM48&lt;&gt;"",ROW(AJ7:AJ48)-MIN(ROW(AJ7:AJ48))+1))),ROW()-ROW(A$51)+1)),",",TEXT(INDEX(AJ7:AJ48,SMALL(IF(ISNUMBER(AJ7:AJ48),IF(AJ7:AJ48&gt;0,IF(AM7:AM48&lt;&gt;"",ROW(AJ7:AJ48)-MIN(ROW(AJ7:AJ48))+1))),ROW()-ROW(A$51)+1)),"##0"),",",SUBSTITUTE(INDEX(IF(PURCHASE_DESCRIPTION&lt;&gt;"",PURCHASE_DESCRIPTION&amp;":","")&amp;A7:A48,SMALL(IF(ISNUMBER(AJ7:AJ48),IF(AJ7:AJ48&gt;0,IF(AM7:AM48&lt;&gt;"",ROW(AJ7:AJ48)-MIN(ROW(AJ7:AJ48))+1))),ROW()-ROW(A$51)+1)),",",";")),"")</f>
        <v>0</v>
      </c>
      <c r="AO77">
        <f t="array" ref="AO77">IFERROR(CONCATENATE(INDEX(AR7:AR48,SMALL(IF(ISNUMBER(AO7:AO48),IF(AO7:AO48&gt;0,IF(AR7:AR48&lt;&gt;"",ROW(AO7:AO48)-MIN(ROW(AO7:AO48))+1))),ROW()-ROW(A$51)+1))," ",TEXT(INDEX(AO7:AO48,SMALL(IF(ISNUMBER(AO7:AO48),IF(AO7:AO48&gt;0,IF(AR7:AR48&lt;&gt;"",ROW(AO7:AO48)-MIN(ROW(AO7:AO48))+1))),ROW()-ROW(A$51)+1)),"##0")," ",SUBSTITUTE(INDEX(IF(PURCHASE_DESCRIPTION&lt;&gt;"",PURCHASE_DESCRIPTION&amp;":","")&amp;A7:A48,SMALL(IF(ISNUMBER(AO7:AO48),IF(AO7:AO48&gt;0,IF(AR7:AR48&lt;&gt;"",ROW(AO7:AO48)-MIN(ROW(AO7:AO48))+1))),ROW()-ROW(A$51)+1))," ",";")),"")</f>
        <v>0</v>
      </c>
      <c r="AT77">
        <f t="array" ref="AT77">IFERROR(CONCATENATE(INDEX(AW7:AW48,SMALL(IF(ISNUMBER(AT7:AT48),IF(AT7:AT48&gt;0,IF(AW7:AW48&lt;&gt;"",ROW(AT7:AT48)-MIN(ROW(AT7:AT48))+1))),ROW()-ROW(A$51)+1))," ",TEXT(INDEX(AT7:AT48,SMALL(IF(ISNUMBER(AT7:AT48),IF(AT7:AT48&gt;0,IF(AW7:AW48&lt;&gt;"",ROW(AT7:AT48)-MIN(ROW(AT7:AT48))+1))),ROW()-ROW(A$51)+1)),"##0")," ",SUBSTITUTE(INDEX(IF(PURCHASE_DESCRIPTION&lt;&gt;"",PURCHASE_DESCRIPTION&amp;":","")&amp;A7:A48,SMALL(IF(ISNUMBER(AT7:AT48),IF(AT7:AT48&gt;0,IF(AW7:AW48&lt;&gt;"",ROW(AT7:AT48)-MIN(ROW(AT7:AT48))+1))),ROW()-ROW(A$51)+1))," ",";")),"")</f>
        <v>0</v>
      </c>
    </row>
    <row r="78" spans="11:46">
      <c r="K78">
        <f t="array" ref="K78">IFERROR(CONCATENATE(INDEX(N7:N48,SMALL(IF(ISNUMBER(K7:K48),IF(K7:K48&gt;0,IF(N7:N48&lt;&gt;"",ROW(K7:K48)-MIN(ROW(K7:K48))+1))),ROW()-ROW(A$51)+1)),",",TEXT(INDEX(K7:K48,SMALL(IF(ISNUMBER(K7:K48),IF(K7:K48&gt;0,IF(N7:N48&lt;&gt;"",ROW(K7:K48)-MIN(ROW(K7:K48))+1))),ROW()-ROW(A$51)+1)),"##0"),",",SUBSTITUTE(INDEX(IF(PURCHASE_DESCRIPTION&lt;&gt;"",PURCHASE_DESCRIPTION&amp;":","")&amp;A7:A48,SMALL(IF(ISNUMBER(K7:K48),IF(K7:K48&gt;0,IF(N7:N48&lt;&gt;"",ROW(K7:K48)-MIN(ROW(K7:K48))+1))),ROW()-ROW(A$51)+1)),",",";")),"")</f>
        <v>0</v>
      </c>
      <c r="P78">
        <f t="array" ref="P78">IFERROR(CONCATENATE(TEXT(INDEX(P7:P48,SMALL(IF(ISNUMBER(P7:P48),IF(P7:P48&gt;0,IF(S7:S48&lt;&gt;"",ROW(P7:P48)-MIN(ROW(P7:P48))+1))),ROW()-ROW(A$51)+1)),"##0"),",",INDEX(S7:S48,SMALL(IF(ISNUMBER(P7:P48),IF(P7:P48&gt;0,IF(S7:S48&lt;&gt;"",ROW(P7:P48)-MIN(ROW(P7:P48))+1))),ROW()-ROW(A$51)+1)),",",SUBSTITUTE(INDEX(IF(PURCHASE_DESCRIPTION&lt;&gt;"",PURCHASE_DESCRIPTION&amp;":","")&amp;A7:A48,SMALL(IF(ISNUMBER(P7:P48),IF(P7:P48&gt;0,IF(S7:S48&lt;&gt;"",ROW(P7:P48)-MIN(ROW(P7:P48))+1))),ROW()-ROW(A$51)+1)),",",";")),"")</f>
        <v>0</v>
      </c>
      <c r="U78">
        <f t="array" ref="U78">IFERROR(CONCATENATE(INDEX(X7:X48,SMALL(IF(ISNUMBER(U7:U48),IF(U7:U48&gt;0,IF(X7:X48&lt;&gt;"",ROW(U7:U48)-MIN(ROW(U7:U48))+1))),ROW()-ROW(A$51)+1))," ",TEXT(INDEX(U7:U48,SMALL(IF(ISNUMBER(U7:U48),IF(U7:U48&gt;0,IF(X7:X48&lt;&gt;"",ROW(U7:U48)-MIN(ROW(U7:U48))+1))),ROW()-ROW(A$51)+1)),"##0")," ",SUBSTITUTE(INDEX(IF(PURCHASE_DESCRIPTION&lt;&gt;"",PURCHASE_DESCRIPTION&amp;":","")&amp;A7:A48,SMALL(IF(ISNUMBER(U7:U48),IF(U7:U48&gt;0,IF(X7:X48&lt;&gt;"",ROW(U7:U48)-MIN(ROW(U7:U48))+1))),ROW()-ROW(A$51)+1))," ",";")),"")</f>
        <v>0</v>
      </c>
      <c r="Z78">
        <f t="array" ref="Z78">IFERROR(CONCATENATE(TEXT(INDEX(Z7:Z48,SMALL(IF(ISNUMBER(Z7:Z48),IF(Z7:Z48&gt;0,IF(AC7:AC48&lt;&gt;"",ROW(Z7:Z48)-MIN(ROW(Z7:Z48))+1))),ROW()-ROW(A$52)+1)),"##0"),",",SUBSTITUTE(INDEX(IF(PURCHASE_DESCRIPTION&lt;&gt;"",PURCHASE_DESCRIPTION&amp;":","")&amp;A7:A48,SMALL(IF(ISNUMBER(Z7:Z48),IF(Z7:Z48&gt;0,IF(AC7:AC48&lt;&gt;"",ROW(Z7:Z48)-MIN(ROW(Z7:Z48))+1))),ROW()-ROW(A$52)+1)),",",";"),",",SUBSTITUTE(INDEX(IF(PURCHASE_DESCRIPTION&lt;&gt;"",PURCHASE_DESCRIPTION&amp;":","")&amp;D7:D48,SMALL(IF(ISNUMBER(Z7:Z48),IF(Z7:Z48&gt;0,IF(AC7:AC48&lt;&gt;"",ROW(Z7:Z48)-MIN(ROW(Z7:Z48))+1))),ROW()-ROW(A$52)+1)),",",";"),",",INDEX(AC7:AC48,SMALL(IF(ISNUMBER(Z7:Z48),IF(Z7:Z48&gt;0,IF(AC7:AC48&lt;&gt;"",ROW(Z7:Z48)-MIN(ROW(Z7:Z48))+1))),ROW()-ROW(A$52)+1))),"")</f>
        <v>0</v>
      </c>
      <c r="AE78">
        <f t="array" ref="AE78">IFERROR(CONCATENATE(INDEX(AH7:AH48,SMALL(IF(ISNUMBER(AE7:AE48),IF(AE7:AE48&gt;0,IF(AH7:AH48&lt;&gt;"",ROW(AE7:AE48)-MIN(ROW(AE7:AE48))+1))),ROW()-ROW(A$51)+1)),"|",TEXT(INDEX(AE7:AE48,SMALL(IF(ISNUMBER(AE7:AE48),IF(AE7:AE48&gt;0,IF(AH7:AH48&lt;&gt;"",ROW(AE7:AE48)-MIN(ROW(AE7:AE48))+1))),ROW()-ROW(A$51)+1)),"##0"),"|",SUBSTITUTE(SUBSTITUTE(INDEX(IF(PURCHASE_DESCRIPTION&lt;&gt;"",PURCHASE_DESCRIPTION&amp;":","")&amp;A7:A48,SMALL(IF(ISNUMBER(AE7:AE48),IF(AE7:AE48&gt;0,IF(AH7:AH48&lt;&gt;"",ROW(AE7:AE48)-MIN(ROW(AE7:AE48))+1))),ROW()-ROW(A$51)+1)),"|",";")," ","_")),"")</f>
        <v>0</v>
      </c>
      <c r="AJ78">
        <f t="array" ref="AJ78">IFERROR(CONCATENATE(INDEX(AM7:AM48,SMALL(IF(ISNUMBER(AJ7:AJ48),IF(AJ7:AJ48&gt;0,IF(AM7:AM48&lt;&gt;"",ROW(AJ7:AJ48)-MIN(ROW(AJ7:AJ48))+1))),ROW()-ROW(A$51)+1)),",",TEXT(INDEX(AJ7:AJ48,SMALL(IF(ISNUMBER(AJ7:AJ48),IF(AJ7:AJ48&gt;0,IF(AM7:AM48&lt;&gt;"",ROW(AJ7:AJ48)-MIN(ROW(AJ7:AJ48))+1))),ROW()-ROW(A$51)+1)),"##0"),",",SUBSTITUTE(INDEX(IF(PURCHASE_DESCRIPTION&lt;&gt;"",PURCHASE_DESCRIPTION&amp;":","")&amp;A7:A48,SMALL(IF(ISNUMBER(AJ7:AJ48),IF(AJ7:AJ48&gt;0,IF(AM7:AM48&lt;&gt;"",ROW(AJ7:AJ48)-MIN(ROW(AJ7:AJ48))+1))),ROW()-ROW(A$51)+1)),",",";")),"")</f>
        <v>0</v>
      </c>
      <c r="AO78">
        <f t="array" ref="AO78">IFERROR(CONCATENATE(INDEX(AR7:AR48,SMALL(IF(ISNUMBER(AO7:AO48),IF(AO7:AO48&gt;0,IF(AR7:AR48&lt;&gt;"",ROW(AO7:AO48)-MIN(ROW(AO7:AO48))+1))),ROW()-ROW(A$51)+1))," ",TEXT(INDEX(AO7:AO48,SMALL(IF(ISNUMBER(AO7:AO48),IF(AO7:AO48&gt;0,IF(AR7:AR48&lt;&gt;"",ROW(AO7:AO48)-MIN(ROW(AO7:AO48))+1))),ROW()-ROW(A$51)+1)),"##0")," ",SUBSTITUTE(INDEX(IF(PURCHASE_DESCRIPTION&lt;&gt;"",PURCHASE_DESCRIPTION&amp;":","")&amp;A7:A48,SMALL(IF(ISNUMBER(AO7:AO48),IF(AO7:AO48&gt;0,IF(AR7:AR48&lt;&gt;"",ROW(AO7:AO48)-MIN(ROW(AO7:AO48))+1))),ROW()-ROW(A$51)+1))," ",";")),"")</f>
        <v>0</v>
      </c>
      <c r="AT78">
        <f t="array" ref="AT78">IFERROR(CONCATENATE(INDEX(AW7:AW48,SMALL(IF(ISNUMBER(AT7:AT48),IF(AT7:AT48&gt;0,IF(AW7:AW48&lt;&gt;"",ROW(AT7:AT48)-MIN(ROW(AT7:AT48))+1))),ROW()-ROW(A$51)+1))," ",TEXT(INDEX(AT7:AT48,SMALL(IF(ISNUMBER(AT7:AT48),IF(AT7:AT48&gt;0,IF(AW7:AW48&lt;&gt;"",ROW(AT7:AT48)-MIN(ROW(AT7:AT48))+1))),ROW()-ROW(A$51)+1)),"##0")," ",SUBSTITUTE(INDEX(IF(PURCHASE_DESCRIPTION&lt;&gt;"",PURCHASE_DESCRIPTION&amp;":","")&amp;A7:A48,SMALL(IF(ISNUMBER(AT7:AT48),IF(AT7:AT48&gt;0,IF(AW7:AW48&lt;&gt;"",ROW(AT7:AT48)-MIN(ROW(AT7:AT48))+1))),ROW()-ROW(A$51)+1))," ",";")),"")</f>
        <v>0</v>
      </c>
    </row>
    <row r="79" spans="11:46">
      <c r="K79">
        <f t="array" ref="K79">IFERROR(CONCATENATE(INDEX(N7:N48,SMALL(IF(ISNUMBER(K7:K48),IF(K7:K48&gt;0,IF(N7:N48&lt;&gt;"",ROW(K7:K48)-MIN(ROW(K7:K48))+1))),ROW()-ROW(A$51)+1)),",",TEXT(INDEX(K7:K48,SMALL(IF(ISNUMBER(K7:K48),IF(K7:K48&gt;0,IF(N7:N48&lt;&gt;"",ROW(K7:K48)-MIN(ROW(K7:K48))+1))),ROW()-ROW(A$51)+1)),"##0"),",",SUBSTITUTE(INDEX(IF(PURCHASE_DESCRIPTION&lt;&gt;"",PURCHASE_DESCRIPTION&amp;":","")&amp;A7:A48,SMALL(IF(ISNUMBER(K7:K48),IF(K7:K48&gt;0,IF(N7:N48&lt;&gt;"",ROW(K7:K48)-MIN(ROW(K7:K48))+1))),ROW()-ROW(A$51)+1)),",",";")),"")</f>
        <v>0</v>
      </c>
      <c r="P79">
        <f t="array" ref="P79">IFERROR(CONCATENATE(TEXT(INDEX(P7:P48,SMALL(IF(ISNUMBER(P7:P48),IF(P7:P48&gt;0,IF(S7:S48&lt;&gt;"",ROW(P7:P48)-MIN(ROW(P7:P48))+1))),ROW()-ROW(A$51)+1)),"##0"),",",INDEX(S7:S48,SMALL(IF(ISNUMBER(P7:P48),IF(P7:P48&gt;0,IF(S7:S48&lt;&gt;"",ROW(P7:P48)-MIN(ROW(P7:P48))+1))),ROW()-ROW(A$51)+1)),",",SUBSTITUTE(INDEX(IF(PURCHASE_DESCRIPTION&lt;&gt;"",PURCHASE_DESCRIPTION&amp;":","")&amp;A7:A48,SMALL(IF(ISNUMBER(P7:P48),IF(P7:P48&gt;0,IF(S7:S48&lt;&gt;"",ROW(P7:P48)-MIN(ROW(P7:P48))+1))),ROW()-ROW(A$51)+1)),",",";")),"")</f>
        <v>0</v>
      </c>
      <c r="U79">
        <f t="array" ref="U79">IFERROR(CONCATENATE(INDEX(X7:X48,SMALL(IF(ISNUMBER(U7:U48),IF(U7:U48&gt;0,IF(X7:X48&lt;&gt;"",ROW(U7:U48)-MIN(ROW(U7:U48))+1))),ROW()-ROW(A$51)+1))," ",TEXT(INDEX(U7:U48,SMALL(IF(ISNUMBER(U7:U48),IF(U7:U48&gt;0,IF(X7:X48&lt;&gt;"",ROW(U7:U48)-MIN(ROW(U7:U48))+1))),ROW()-ROW(A$51)+1)),"##0")," ",SUBSTITUTE(INDEX(IF(PURCHASE_DESCRIPTION&lt;&gt;"",PURCHASE_DESCRIPTION&amp;":","")&amp;A7:A48,SMALL(IF(ISNUMBER(U7:U48),IF(U7:U48&gt;0,IF(X7:X48&lt;&gt;"",ROW(U7:U48)-MIN(ROW(U7:U48))+1))),ROW()-ROW(A$51)+1))," ",";")),"")</f>
        <v>0</v>
      </c>
      <c r="Z79">
        <f t="array" ref="Z79">IFERROR(CONCATENATE(TEXT(INDEX(Z7:Z48,SMALL(IF(ISNUMBER(Z7:Z48),IF(Z7:Z48&gt;0,IF(AC7:AC48&lt;&gt;"",ROW(Z7:Z48)-MIN(ROW(Z7:Z48))+1))),ROW()-ROW(A$52)+1)),"##0"),",",SUBSTITUTE(INDEX(IF(PURCHASE_DESCRIPTION&lt;&gt;"",PURCHASE_DESCRIPTION&amp;":","")&amp;A7:A48,SMALL(IF(ISNUMBER(Z7:Z48),IF(Z7:Z48&gt;0,IF(AC7:AC48&lt;&gt;"",ROW(Z7:Z48)-MIN(ROW(Z7:Z48))+1))),ROW()-ROW(A$52)+1)),",",";"),",",SUBSTITUTE(INDEX(IF(PURCHASE_DESCRIPTION&lt;&gt;"",PURCHASE_DESCRIPTION&amp;":","")&amp;D7:D48,SMALL(IF(ISNUMBER(Z7:Z48),IF(Z7:Z48&gt;0,IF(AC7:AC48&lt;&gt;"",ROW(Z7:Z48)-MIN(ROW(Z7:Z48))+1))),ROW()-ROW(A$52)+1)),",",";"),",",INDEX(AC7:AC48,SMALL(IF(ISNUMBER(Z7:Z48),IF(Z7:Z48&gt;0,IF(AC7:AC48&lt;&gt;"",ROW(Z7:Z48)-MIN(ROW(Z7:Z48))+1))),ROW()-ROW(A$52)+1))),"")</f>
        <v>0</v>
      </c>
      <c r="AE79">
        <f t="array" ref="AE79">IFERROR(CONCATENATE(INDEX(AH7:AH48,SMALL(IF(ISNUMBER(AE7:AE48),IF(AE7:AE48&gt;0,IF(AH7:AH48&lt;&gt;"",ROW(AE7:AE48)-MIN(ROW(AE7:AE48))+1))),ROW()-ROW(A$51)+1)),"|",TEXT(INDEX(AE7:AE48,SMALL(IF(ISNUMBER(AE7:AE48),IF(AE7:AE48&gt;0,IF(AH7:AH48&lt;&gt;"",ROW(AE7:AE48)-MIN(ROW(AE7:AE48))+1))),ROW()-ROW(A$51)+1)),"##0"),"|",SUBSTITUTE(SUBSTITUTE(INDEX(IF(PURCHASE_DESCRIPTION&lt;&gt;"",PURCHASE_DESCRIPTION&amp;":","")&amp;A7:A48,SMALL(IF(ISNUMBER(AE7:AE48),IF(AE7:AE48&gt;0,IF(AH7:AH48&lt;&gt;"",ROW(AE7:AE48)-MIN(ROW(AE7:AE48))+1))),ROW()-ROW(A$51)+1)),"|",";")," ","_")),"")</f>
        <v>0</v>
      </c>
      <c r="AJ79">
        <f t="array" ref="AJ79">IFERROR(CONCATENATE(INDEX(AM7:AM48,SMALL(IF(ISNUMBER(AJ7:AJ48),IF(AJ7:AJ48&gt;0,IF(AM7:AM48&lt;&gt;"",ROW(AJ7:AJ48)-MIN(ROW(AJ7:AJ48))+1))),ROW()-ROW(A$51)+1)),",",TEXT(INDEX(AJ7:AJ48,SMALL(IF(ISNUMBER(AJ7:AJ48),IF(AJ7:AJ48&gt;0,IF(AM7:AM48&lt;&gt;"",ROW(AJ7:AJ48)-MIN(ROW(AJ7:AJ48))+1))),ROW()-ROW(A$51)+1)),"##0"),",",SUBSTITUTE(INDEX(IF(PURCHASE_DESCRIPTION&lt;&gt;"",PURCHASE_DESCRIPTION&amp;":","")&amp;A7:A48,SMALL(IF(ISNUMBER(AJ7:AJ48),IF(AJ7:AJ48&gt;0,IF(AM7:AM48&lt;&gt;"",ROW(AJ7:AJ48)-MIN(ROW(AJ7:AJ48))+1))),ROW()-ROW(A$51)+1)),",",";")),"")</f>
        <v>0</v>
      </c>
      <c r="AO79">
        <f t="array" ref="AO79">IFERROR(CONCATENATE(INDEX(AR7:AR48,SMALL(IF(ISNUMBER(AO7:AO48),IF(AO7:AO48&gt;0,IF(AR7:AR48&lt;&gt;"",ROW(AO7:AO48)-MIN(ROW(AO7:AO48))+1))),ROW()-ROW(A$51)+1))," ",TEXT(INDEX(AO7:AO48,SMALL(IF(ISNUMBER(AO7:AO48),IF(AO7:AO48&gt;0,IF(AR7:AR48&lt;&gt;"",ROW(AO7:AO48)-MIN(ROW(AO7:AO48))+1))),ROW()-ROW(A$51)+1)),"##0")," ",SUBSTITUTE(INDEX(IF(PURCHASE_DESCRIPTION&lt;&gt;"",PURCHASE_DESCRIPTION&amp;":","")&amp;A7:A48,SMALL(IF(ISNUMBER(AO7:AO48),IF(AO7:AO48&gt;0,IF(AR7:AR48&lt;&gt;"",ROW(AO7:AO48)-MIN(ROW(AO7:AO48))+1))),ROW()-ROW(A$51)+1))," ",";")),"")</f>
        <v>0</v>
      </c>
      <c r="AT79">
        <f t="array" ref="AT79">IFERROR(CONCATENATE(INDEX(AW7:AW48,SMALL(IF(ISNUMBER(AT7:AT48),IF(AT7:AT48&gt;0,IF(AW7:AW48&lt;&gt;"",ROW(AT7:AT48)-MIN(ROW(AT7:AT48))+1))),ROW()-ROW(A$51)+1))," ",TEXT(INDEX(AT7:AT48,SMALL(IF(ISNUMBER(AT7:AT48),IF(AT7:AT48&gt;0,IF(AW7:AW48&lt;&gt;"",ROW(AT7:AT48)-MIN(ROW(AT7:AT48))+1))),ROW()-ROW(A$51)+1)),"##0")," ",SUBSTITUTE(INDEX(IF(PURCHASE_DESCRIPTION&lt;&gt;"",PURCHASE_DESCRIPTION&amp;":","")&amp;A7:A48,SMALL(IF(ISNUMBER(AT7:AT48),IF(AT7:AT48&gt;0,IF(AW7:AW48&lt;&gt;"",ROW(AT7:AT48)-MIN(ROW(AT7:AT48))+1))),ROW()-ROW(A$51)+1))," ",";")),"")</f>
        <v>0</v>
      </c>
    </row>
    <row r="80" spans="11:46">
      <c r="K80">
        <f t="array" ref="K80">IFERROR(CONCATENATE(INDEX(N7:N48,SMALL(IF(ISNUMBER(K7:K48),IF(K7:K48&gt;0,IF(N7:N48&lt;&gt;"",ROW(K7:K48)-MIN(ROW(K7:K48))+1))),ROW()-ROW(A$51)+1)),",",TEXT(INDEX(K7:K48,SMALL(IF(ISNUMBER(K7:K48),IF(K7:K48&gt;0,IF(N7:N48&lt;&gt;"",ROW(K7:K48)-MIN(ROW(K7:K48))+1))),ROW()-ROW(A$51)+1)),"##0"),",",SUBSTITUTE(INDEX(IF(PURCHASE_DESCRIPTION&lt;&gt;"",PURCHASE_DESCRIPTION&amp;":","")&amp;A7:A48,SMALL(IF(ISNUMBER(K7:K48),IF(K7:K48&gt;0,IF(N7:N48&lt;&gt;"",ROW(K7:K48)-MIN(ROW(K7:K48))+1))),ROW()-ROW(A$51)+1)),",",";")),"")</f>
        <v>0</v>
      </c>
      <c r="P80">
        <f t="array" ref="P80">IFERROR(CONCATENATE(TEXT(INDEX(P7:P48,SMALL(IF(ISNUMBER(P7:P48),IF(P7:P48&gt;0,IF(S7:S48&lt;&gt;"",ROW(P7:P48)-MIN(ROW(P7:P48))+1))),ROW()-ROW(A$51)+1)),"##0"),",",INDEX(S7:S48,SMALL(IF(ISNUMBER(P7:P48),IF(P7:P48&gt;0,IF(S7:S48&lt;&gt;"",ROW(P7:P48)-MIN(ROW(P7:P48))+1))),ROW()-ROW(A$51)+1)),",",SUBSTITUTE(INDEX(IF(PURCHASE_DESCRIPTION&lt;&gt;"",PURCHASE_DESCRIPTION&amp;":","")&amp;A7:A48,SMALL(IF(ISNUMBER(P7:P48),IF(P7:P48&gt;0,IF(S7:S48&lt;&gt;"",ROW(P7:P48)-MIN(ROW(P7:P48))+1))),ROW()-ROW(A$51)+1)),",",";")),"")</f>
        <v>0</v>
      </c>
      <c r="U80">
        <f t="array" ref="U80">IFERROR(CONCATENATE(INDEX(X7:X48,SMALL(IF(ISNUMBER(U7:U48),IF(U7:U48&gt;0,IF(X7:X48&lt;&gt;"",ROW(U7:U48)-MIN(ROW(U7:U48))+1))),ROW()-ROW(A$51)+1))," ",TEXT(INDEX(U7:U48,SMALL(IF(ISNUMBER(U7:U48),IF(U7:U48&gt;0,IF(X7:X48&lt;&gt;"",ROW(U7:U48)-MIN(ROW(U7:U48))+1))),ROW()-ROW(A$51)+1)),"##0")," ",SUBSTITUTE(INDEX(IF(PURCHASE_DESCRIPTION&lt;&gt;"",PURCHASE_DESCRIPTION&amp;":","")&amp;A7:A48,SMALL(IF(ISNUMBER(U7:U48),IF(U7:U48&gt;0,IF(X7:X48&lt;&gt;"",ROW(U7:U48)-MIN(ROW(U7:U48))+1))),ROW()-ROW(A$51)+1))," ",";")),"")</f>
        <v>0</v>
      </c>
      <c r="Z80">
        <f t="array" ref="Z80">IFERROR(CONCATENATE(TEXT(INDEX(Z7:Z48,SMALL(IF(ISNUMBER(Z7:Z48),IF(Z7:Z48&gt;0,IF(AC7:AC48&lt;&gt;"",ROW(Z7:Z48)-MIN(ROW(Z7:Z48))+1))),ROW()-ROW(A$52)+1)),"##0"),",",SUBSTITUTE(INDEX(IF(PURCHASE_DESCRIPTION&lt;&gt;"",PURCHASE_DESCRIPTION&amp;":","")&amp;A7:A48,SMALL(IF(ISNUMBER(Z7:Z48),IF(Z7:Z48&gt;0,IF(AC7:AC48&lt;&gt;"",ROW(Z7:Z48)-MIN(ROW(Z7:Z48))+1))),ROW()-ROW(A$52)+1)),",",";"),",",SUBSTITUTE(INDEX(IF(PURCHASE_DESCRIPTION&lt;&gt;"",PURCHASE_DESCRIPTION&amp;":","")&amp;D7:D48,SMALL(IF(ISNUMBER(Z7:Z48),IF(Z7:Z48&gt;0,IF(AC7:AC48&lt;&gt;"",ROW(Z7:Z48)-MIN(ROW(Z7:Z48))+1))),ROW()-ROW(A$52)+1)),",",";"),",",INDEX(AC7:AC48,SMALL(IF(ISNUMBER(Z7:Z48),IF(Z7:Z48&gt;0,IF(AC7:AC48&lt;&gt;"",ROW(Z7:Z48)-MIN(ROW(Z7:Z48))+1))),ROW()-ROW(A$52)+1))),"")</f>
        <v>0</v>
      </c>
      <c r="AE80">
        <f t="array" ref="AE80">IFERROR(CONCATENATE(INDEX(AH7:AH48,SMALL(IF(ISNUMBER(AE7:AE48),IF(AE7:AE48&gt;0,IF(AH7:AH48&lt;&gt;"",ROW(AE7:AE48)-MIN(ROW(AE7:AE48))+1))),ROW()-ROW(A$51)+1)),"|",TEXT(INDEX(AE7:AE48,SMALL(IF(ISNUMBER(AE7:AE48),IF(AE7:AE48&gt;0,IF(AH7:AH48&lt;&gt;"",ROW(AE7:AE48)-MIN(ROW(AE7:AE48))+1))),ROW()-ROW(A$51)+1)),"##0"),"|",SUBSTITUTE(SUBSTITUTE(INDEX(IF(PURCHASE_DESCRIPTION&lt;&gt;"",PURCHASE_DESCRIPTION&amp;":","")&amp;A7:A48,SMALL(IF(ISNUMBER(AE7:AE48),IF(AE7:AE48&gt;0,IF(AH7:AH48&lt;&gt;"",ROW(AE7:AE48)-MIN(ROW(AE7:AE48))+1))),ROW()-ROW(A$51)+1)),"|",";")," ","_")),"")</f>
        <v>0</v>
      </c>
      <c r="AJ80">
        <f t="array" ref="AJ80">IFERROR(CONCATENATE(INDEX(AM7:AM48,SMALL(IF(ISNUMBER(AJ7:AJ48),IF(AJ7:AJ48&gt;0,IF(AM7:AM48&lt;&gt;"",ROW(AJ7:AJ48)-MIN(ROW(AJ7:AJ48))+1))),ROW()-ROW(A$51)+1)),",",TEXT(INDEX(AJ7:AJ48,SMALL(IF(ISNUMBER(AJ7:AJ48),IF(AJ7:AJ48&gt;0,IF(AM7:AM48&lt;&gt;"",ROW(AJ7:AJ48)-MIN(ROW(AJ7:AJ48))+1))),ROW()-ROW(A$51)+1)),"##0"),",",SUBSTITUTE(INDEX(IF(PURCHASE_DESCRIPTION&lt;&gt;"",PURCHASE_DESCRIPTION&amp;":","")&amp;A7:A48,SMALL(IF(ISNUMBER(AJ7:AJ48),IF(AJ7:AJ48&gt;0,IF(AM7:AM48&lt;&gt;"",ROW(AJ7:AJ48)-MIN(ROW(AJ7:AJ48))+1))),ROW()-ROW(A$51)+1)),",",";")),"")</f>
        <v>0</v>
      </c>
      <c r="AO80">
        <f t="array" ref="AO80">IFERROR(CONCATENATE(INDEX(AR7:AR48,SMALL(IF(ISNUMBER(AO7:AO48),IF(AO7:AO48&gt;0,IF(AR7:AR48&lt;&gt;"",ROW(AO7:AO48)-MIN(ROW(AO7:AO48))+1))),ROW()-ROW(A$51)+1))," ",TEXT(INDEX(AO7:AO48,SMALL(IF(ISNUMBER(AO7:AO48),IF(AO7:AO48&gt;0,IF(AR7:AR48&lt;&gt;"",ROW(AO7:AO48)-MIN(ROW(AO7:AO48))+1))),ROW()-ROW(A$51)+1)),"##0")," ",SUBSTITUTE(INDEX(IF(PURCHASE_DESCRIPTION&lt;&gt;"",PURCHASE_DESCRIPTION&amp;":","")&amp;A7:A48,SMALL(IF(ISNUMBER(AO7:AO48),IF(AO7:AO48&gt;0,IF(AR7:AR48&lt;&gt;"",ROW(AO7:AO48)-MIN(ROW(AO7:AO48))+1))),ROW()-ROW(A$51)+1))," ",";")),"")</f>
        <v>0</v>
      </c>
      <c r="AT80">
        <f t="array" ref="AT80">IFERROR(CONCATENATE(INDEX(AW7:AW48,SMALL(IF(ISNUMBER(AT7:AT48),IF(AT7:AT48&gt;0,IF(AW7:AW48&lt;&gt;"",ROW(AT7:AT48)-MIN(ROW(AT7:AT48))+1))),ROW()-ROW(A$51)+1))," ",TEXT(INDEX(AT7:AT48,SMALL(IF(ISNUMBER(AT7:AT48),IF(AT7:AT48&gt;0,IF(AW7:AW48&lt;&gt;"",ROW(AT7:AT48)-MIN(ROW(AT7:AT48))+1))),ROW()-ROW(A$51)+1)),"##0")," ",SUBSTITUTE(INDEX(IF(PURCHASE_DESCRIPTION&lt;&gt;"",PURCHASE_DESCRIPTION&amp;":","")&amp;A7:A48,SMALL(IF(ISNUMBER(AT7:AT48),IF(AT7:AT48&gt;0,IF(AW7:AW48&lt;&gt;"",ROW(AT7:AT48)-MIN(ROW(AT7:AT48))+1))),ROW()-ROW(A$51)+1))," ",";")),"")</f>
        <v>0</v>
      </c>
    </row>
    <row r="81" spans="11:46">
      <c r="K81">
        <f t="array" ref="K81">IFERROR(CONCATENATE(INDEX(N7:N48,SMALL(IF(ISNUMBER(K7:K48),IF(K7:K48&gt;0,IF(N7:N48&lt;&gt;"",ROW(K7:K48)-MIN(ROW(K7:K48))+1))),ROW()-ROW(A$51)+1)),",",TEXT(INDEX(K7:K48,SMALL(IF(ISNUMBER(K7:K48),IF(K7:K48&gt;0,IF(N7:N48&lt;&gt;"",ROW(K7:K48)-MIN(ROW(K7:K48))+1))),ROW()-ROW(A$51)+1)),"##0"),",",SUBSTITUTE(INDEX(IF(PURCHASE_DESCRIPTION&lt;&gt;"",PURCHASE_DESCRIPTION&amp;":","")&amp;A7:A48,SMALL(IF(ISNUMBER(K7:K48),IF(K7:K48&gt;0,IF(N7:N48&lt;&gt;"",ROW(K7:K48)-MIN(ROW(K7:K48))+1))),ROW()-ROW(A$51)+1)),",",";")),"")</f>
        <v>0</v>
      </c>
      <c r="P81">
        <f t="array" ref="P81">IFERROR(CONCATENATE(TEXT(INDEX(P7:P48,SMALL(IF(ISNUMBER(P7:P48),IF(P7:P48&gt;0,IF(S7:S48&lt;&gt;"",ROW(P7:P48)-MIN(ROW(P7:P48))+1))),ROW()-ROW(A$51)+1)),"##0"),",",INDEX(S7:S48,SMALL(IF(ISNUMBER(P7:P48),IF(P7:P48&gt;0,IF(S7:S48&lt;&gt;"",ROW(P7:P48)-MIN(ROW(P7:P48))+1))),ROW()-ROW(A$51)+1)),",",SUBSTITUTE(INDEX(IF(PURCHASE_DESCRIPTION&lt;&gt;"",PURCHASE_DESCRIPTION&amp;":","")&amp;A7:A48,SMALL(IF(ISNUMBER(P7:P48),IF(P7:P48&gt;0,IF(S7:S48&lt;&gt;"",ROW(P7:P48)-MIN(ROW(P7:P48))+1))),ROW()-ROW(A$51)+1)),",",";")),"")</f>
        <v>0</v>
      </c>
      <c r="U81">
        <f t="array" ref="U81">IFERROR(CONCATENATE(INDEX(X7:X48,SMALL(IF(ISNUMBER(U7:U48),IF(U7:U48&gt;0,IF(X7:X48&lt;&gt;"",ROW(U7:U48)-MIN(ROW(U7:U48))+1))),ROW()-ROW(A$51)+1))," ",TEXT(INDEX(U7:U48,SMALL(IF(ISNUMBER(U7:U48),IF(U7:U48&gt;0,IF(X7:X48&lt;&gt;"",ROW(U7:U48)-MIN(ROW(U7:U48))+1))),ROW()-ROW(A$51)+1)),"##0")," ",SUBSTITUTE(INDEX(IF(PURCHASE_DESCRIPTION&lt;&gt;"",PURCHASE_DESCRIPTION&amp;":","")&amp;A7:A48,SMALL(IF(ISNUMBER(U7:U48),IF(U7:U48&gt;0,IF(X7:X48&lt;&gt;"",ROW(U7:U48)-MIN(ROW(U7:U48))+1))),ROW()-ROW(A$51)+1))," ",";")),"")</f>
        <v>0</v>
      </c>
      <c r="Z81">
        <f t="array" ref="Z81">IFERROR(CONCATENATE(TEXT(INDEX(Z7:Z48,SMALL(IF(ISNUMBER(Z7:Z48),IF(Z7:Z48&gt;0,IF(AC7:AC48&lt;&gt;"",ROW(Z7:Z48)-MIN(ROW(Z7:Z48))+1))),ROW()-ROW(A$52)+1)),"##0"),",",SUBSTITUTE(INDEX(IF(PURCHASE_DESCRIPTION&lt;&gt;"",PURCHASE_DESCRIPTION&amp;":","")&amp;A7:A48,SMALL(IF(ISNUMBER(Z7:Z48),IF(Z7:Z48&gt;0,IF(AC7:AC48&lt;&gt;"",ROW(Z7:Z48)-MIN(ROW(Z7:Z48))+1))),ROW()-ROW(A$52)+1)),",",";"),",",SUBSTITUTE(INDEX(IF(PURCHASE_DESCRIPTION&lt;&gt;"",PURCHASE_DESCRIPTION&amp;":","")&amp;D7:D48,SMALL(IF(ISNUMBER(Z7:Z48),IF(Z7:Z48&gt;0,IF(AC7:AC48&lt;&gt;"",ROW(Z7:Z48)-MIN(ROW(Z7:Z48))+1))),ROW()-ROW(A$52)+1)),",",";"),",",INDEX(AC7:AC48,SMALL(IF(ISNUMBER(Z7:Z48),IF(Z7:Z48&gt;0,IF(AC7:AC48&lt;&gt;"",ROW(Z7:Z48)-MIN(ROW(Z7:Z48))+1))),ROW()-ROW(A$52)+1))),"")</f>
        <v>0</v>
      </c>
      <c r="AE81">
        <f t="array" ref="AE81">IFERROR(CONCATENATE(INDEX(AH7:AH48,SMALL(IF(ISNUMBER(AE7:AE48),IF(AE7:AE48&gt;0,IF(AH7:AH48&lt;&gt;"",ROW(AE7:AE48)-MIN(ROW(AE7:AE48))+1))),ROW()-ROW(A$51)+1)),"|",TEXT(INDEX(AE7:AE48,SMALL(IF(ISNUMBER(AE7:AE48),IF(AE7:AE48&gt;0,IF(AH7:AH48&lt;&gt;"",ROW(AE7:AE48)-MIN(ROW(AE7:AE48))+1))),ROW()-ROW(A$51)+1)),"##0"),"|",SUBSTITUTE(SUBSTITUTE(INDEX(IF(PURCHASE_DESCRIPTION&lt;&gt;"",PURCHASE_DESCRIPTION&amp;":","")&amp;A7:A48,SMALL(IF(ISNUMBER(AE7:AE48),IF(AE7:AE48&gt;0,IF(AH7:AH48&lt;&gt;"",ROW(AE7:AE48)-MIN(ROW(AE7:AE48))+1))),ROW()-ROW(A$51)+1)),"|",";")," ","_")),"")</f>
        <v>0</v>
      </c>
      <c r="AJ81">
        <f t="array" ref="AJ81">IFERROR(CONCATENATE(INDEX(AM7:AM48,SMALL(IF(ISNUMBER(AJ7:AJ48),IF(AJ7:AJ48&gt;0,IF(AM7:AM48&lt;&gt;"",ROW(AJ7:AJ48)-MIN(ROW(AJ7:AJ48))+1))),ROW()-ROW(A$51)+1)),",",TEXT(INDEX(AJ7:AJ48,SMALL(IF(ISNUMBER(AJ7:AJ48),IF(AJ7:AJ48&gt;0,IF(AM7:AM48&lt;&gt;"",ROW(AJ7:AJ48)-MIN(ROW(AJ7:AJ48))+1))),ROW()-ROW(A$51)+1)),"##0"),",",SUBSTITUTE(INDEX(IF(PURCHASE_DESCRIPTION&lt;&gt;"",PURCHASE_DESCRIPTION&amp;":","")&amp;A7:A48,SMALL(IF(ISNUMBER(AJ7:AJ48),IF(AJ7:AJ48&gt;0,IF(AM7:AM48&lt;&gt;"",ROW(AJ7:AJ48)-MIN(ROW(AJ7:AJ48))+1))),ROW()-ROW(A$51)+1)),",",";")),"")</f>
        <v>0</v>
      </c>
      <c r="AO81">
        <f t="array" ref="AO81">IFERROR(CONCATENATE(INDEX(AR7:AR48,SMALL(IF(ISNUMBER(AO7:AO48),IF(AO7:AO48&gt;0,IF(AR7:AR48&lt;&gt;"",ROW(AO7:AO48)-MIN(ROW(AO7:AO48))+1))),ROW()-ROW(A$51)+1))," ",TEXT(INDEX(AO7:AO48,SMALL(IF(ISNUMBER(AO7:AO48),IF(AO7:AO48&gt;0,IF(AR7:AR48&lt;&gt;"",ROW(AO7:AO48)-MIN(ROW(AO7:AO48))+1))),ROW()-ROW(A$51)+1)),"##0")," ",SUBSTITUTE(INDEX(IF(PURCHASE_DESCRIPTION&lt;&gt;"",PURCHASE_DESCRIPTION&amp;":","")&amp;A7:A48,SMALL(IF(ISNUMBER(AO7:AO48),IF(AO7:AO48&gt;0,IF(AR7:AR48&lt;&gt;"",ROW(AO7:AO48)-MIN(ROW(AO7:AO48))+1))),ROW()-ROW(A$51)+1))," ",";")),"")</f>
        <v>0</v>
      </c>
      <c r="AT81">
        <f t="array" ref="AT81">IFERROR(CONCATENATE(INDEX(AW7:AW48,SMALL(IF(ISNUMBER(AT7:AT48),IF(AT7:AT48&gt;0,IF(AW7:AW48&lt;&gt;"",ROW(AT7:AT48)-MIN(ROW(AT7:AT48))+1))),ROW()-ROW(A$51)+1))," ",TEXT(INDEX(AT7:AT48,SMALL(IF(ISNUMBER(AT7:AT48),IF(AT7:AT48&gt;0,IF(AW7:AW48&lt;&gt;"",ROW(AT7:AT48)-MIN(ROW(AT7:AT48))+1))),ROW()-ROW(A$51)+1)),"##0")," ",SUBSTITUTE(INDEX(IF(PURCHASE_DESCRIPTION&lt;&gt;"",PURCHASE_DESCRIPTION&amp;":","")&amp;A7:A48,SMALL(IF(ISNUMBER(AT7:AT48),IF(AT7:AT48&gt;0,IF(AW7:AW48&lt;&gt;"",ROW(AT7:AT48)-MIN(ROW(AT7:AT48))+1))),ROW()-ROW(A$51)+1))," ",";")),"")</f>
        <v>0</v>
      </c>
    </row>
    <row r="82" spans="11:46">
      <c r="K82">
        <f t="array" ref="K82">IFERROR(CONCATENATE(INDEX(N7:N48,SMALL(IF(ISNUMBER(K7:K48),IF(K7:K48&gt;0,IF(N7:N48&lt;&gt;"",ROW(K7:K48)-MIN(ROW(K7:K48))+1))),ROW()-ROW(A$51)+1)),",",TEXT(INDEX(K7:K48,SMALL(IF(ISNUMBER(K7:K48),IF(K7:K48&gt;0,IF(N7:N48&lt;&gt;"",ROW(K7:K48)-MIN(ROW(K7:K48))+1))),ROW()-ROW(A$51)+1)),"##0"),",",SUBSTITUTE(INDEX(IF(PURCHASE_DESCRIPTION&lt;&gt;"",PURCHASE_DESCRIPTION&amp;":","")&amp;A7:A48,SMALL(IF(ISNUMBER(K7:K48),IF(K7:K48&gt;0,IF(N7:N48&lt;&gt;"",ROW(K7:K48)-MIN(ROW(K7:K48))+1))),ROW()-ROW(A$51)+1)),",",";")),"")</f>
        <v>0</v>
      </c>
      <c r="P82">
        <f t="array" ref="P82">IFERROR(CONCATENATE(TEXT(INDEX(P7:P48,SMALL(IF(ISNUMBER(P7:P48),IF(P7:P48&gt;0,IF(S7:S48&lt;&gt;"",ROW(P7:P48)-MIN(ROW(P7:P48))+1))),ROW()-ROW(A$51)+1)),"##0"),",",INDEX(S7:S48,SMALL(IF(ISNUMBER(P7:P48),IF(P7:P48&gt;0,IF(S7:S48&lt;&gt;"",ROW(P7:P48)-MIN(ROW(P7:P48))+1))),ROW()-ROW(A$51)+1)),",",SUBSTITUTE(INDEX(IF(PURCHASE_DESCRIPTION&lt;&gt;"",PURCHASE_DESCRIPTION&amp;":","")&amp;A7:A48,SMALL(IF(ISNUMBER(P7:P48),IF(P7:P48&gt;0,IF(S7:S48&lt;&gt;"",ROW(P7:P48)-MIN(ROW(P7:P48))+1))),ROW()-ROW(A$51)+1)),",",";")),"")</f>
        <v>0</v>
      </c>
      <c r="U82">
        <f t="array" ref="U82">IFERROR(CONCATENATE(INDEX(X7:X48,SMALL(IF(ISNUMBER(U7:U48),IF(U7:U48&gt;0,IF(X7:X48&lt;&gt;"",ROW(U7:U48)-MIN(ROW(U7:U48))+1))),ROW()-ROW(A$51)+1))," ",TEXT(INDEX(U7:U48,SMALL(IF(ISNUMBER(U7:U48),IF(U7:U48&gt;0,IF(X7:X48&lt;&gt;"",ROW(U7:U48)-MIN(ROW(U7:U48))+1))),ROW()-ROW(A$51)+1)),"##0")," ",SUBSTITUTE(INDEX(IF(PURCHASE_DESCRIPTION&lt;&gt;"",PURCHASE_DESCRIPTION&amp;":","")&amp;A7:A48,SMALL(IF(ISNUMBER(U7:U48),IF(U7:U48&gt;0,IF(X7:X48&lt;&gt;"",ROW(U7:U48)-MIN(ROW(U7:U48))+1))),ROW()-ROW(A$51)+1))," ",";")),"")</f>
        <v>0</v>
      </c>
      <c r="Z82">
        <f t="array" ref="Z82">IFERROR(CONCATENATE(TEXT(INDEX(Z7:Z48,SMALL(IF(ISNUMBER(Z7:Z48),IF(Z7:Z48&gt;0,IF(AC7:AC48&lt;&gt;"",ROW(Z7:Z48)-MIN(ROW(Z7:Z48))+1))),ROW()-ROW(A$52)+1)),"##0"),",",SUBSTITUTE(INDEX(IF(PURCHASE_DESCRIPTION&lt;&gt;"",PURCHASE_DESCRIPTION&amp;":","")&amp;A7:A48,SMALL(IF(ISNUMBER(Z7:Z48),IF(Z7:Z48&gt;0,IF(AC7:AC48&lt;&gt;"",ROW(Z7:Z48)-MIN(ROW(Z7:Z48))+1))),ROW()-ROW(A$52)+1)),",",";"),",",SUBSTITUTE(INDEX(IF(PURCHASE_DESCRIPTION&lt;&gt;"",PURCHASE_DESCRIPTION&amp;":","")&amp;D7:D48,SMALL(IF(ISNUMBER(Z7:Z48),IF(Z7:Z48&gt;0,IF(AC7:AC48&lt;&gt;"",ROW(Z7:Z48)-MIN(ROW(Z7:Z48))+1))),ROW()-ROW(A$52)+1)),",",";"),",",INDEX(AC7:AC48,SMALL(IF(ISNUMBER(Z7:Z48),IF(Z7:Z48&gt;0,IF(AC7:AC48&lt;&gt;"",ROW(Z7:Z48)-MIN(ROW(Z7:Z48))+1))),ROW()-ROW(A$52)+1))),"")</f>
        <v>0</v>
      </c>
      <c r="AE82">
        <f t="array" ref="AE82">IFERROR(CONCATENATE(INDEX(AH7:AH48,SMALL(IF(ISNUMBER(AE7:AE48),IF(AE7:AE48&gt;0,IF(AH7:AH48&lt;&gt;"",ROW(AE7:AE48)-MIN(ROW(AE7:AE48))+1))),ROW()-ROW(A$51)+1)),"|",TEXT(INDEX(AE7:AE48,SMALL(IF(ISNUMBER(AE7:AE48),IF(AE7:AE48&gt;0,IF(AH7:AH48&lt;&gt;"",ROW(AE7:AE48)-MIN(ROW(AE7:AE48))+1))),ROW()-ROW(A$51)+1)),"##0"),"|",SUBSTITUTE(SUBSTITUTE(INDEX(IF(PURCHASE_DESCRIPTION&lt;&gt;"",PURCHASE_DESCRIPTION&amp;":","")&amp;A7:A48,SMALL(IF(ISNUMBER(AE7:AE48),IF(AE7:AE48&gt;0,IF(AH7:AH48&lt;&gt;"",ROW(AE7:AE48)-MIN(ROW(AE7:AE48))+1))),ROW()-ROW(A$51)+1)),"|",";")," ","_")),"")</f>
        <v>0</v>
      </c>
      <c r="AJ82">
        <f t="array" ref="AJ82">IFERROR(CONCATENATE(INDEX(AM7:AM48,SMALL(IF(ISNUMBER(AJ7:AJ48),IF(AJ7:AJ48&gt;0,IF(AM7:AM48&lt;&gt;"",ROW(AJ7:AJ48)-MIN(ROW(AJ7:AJ48))+1))),ROW()-ROW(A$51)+1)),",",TEXT(INDEX(AJ7:AJ48,SMALL(IF(ISNUMBER(AJ7:AJ48),IF(AJ7:AJ48&gt;0,IF(AM7:AM48&lt;&gt;"",ROW(AJ7:AJ48)-MIN(ROW(AJ7:AJ48))+1))),ROW()-ROW(A$51)+1)),"##0"),",",SUBSTITUTE(INDEX(IF(PURCHASE_DESCRIPTION&lt;&gt;"",PURCHASE_DESCRIPTION&amp;":","")&amp;A7:A48,SMALL(IF(ISNUMBER(AJ7:AJ48),IF(AJ7:AJ48&gt;0,IF(AM7:AM48&lt;&gt;"",ROW(AJ7:AJ48)-MIN(ROW(AJ7:AJ48))+1))),ROW()-ROW(A$51)+1)),",",";")),"")</f>
        <v>0</v>
      </c>
      <c r="AO82">
        <f t="array" ref="AO82">IFERROR(CONCATENATE(INDEX(AR7:AR48,SMALL(IF(ISNUMBER(AO7:AO48),IF(AO7:AO48&gt;0,IF(AR7:AR48&lt;&gt;"",ROW(AO7:AO48)-MIN(ROW(AO7:AO48))+1))),ROW()-ROW(A$51)+1))," ",TEXT(INDEX(AO7:AO48,SMALL(IF(ISNUMBER(AO7:AO48),IF(AO7:AO48&gt;0,IF(AR7:AR48&lt;&gt;"",ROW(AO7:AO48)-MIN(ROW(AO7:AO48))+1))),ROW()-ROW(A$51)+1)),"##0")," ",SUBSTITUTE(INDEX(IF(PURCHASE_DESCRIPTION&lt;&gt;"",PURCHASE_DESCRIPTION&amp;":","")&amp;A7:A48,SMALL(IF(ISNUMBER(AO7:AO48),IF(AO7:AO48&gt;0,IF(AR7:AR48&lt;&gt;"",ROW(AO7:AO48)-MIN(ROW(AO7:AO48))+1))),ROW()-ROW(A$51)+1))," ",";")),"")</f>
        <v>0</v>
      </c>
      <c r="AT82">
        <f t="array" ref="AT82">IFERROR(CONCATENATE(INDEX(AW7:AW48,SMALL(IF(ISNUMBER(AT7:AT48),IF(AT7:AT48&gt;0,IF(AW7:AW48&lt;&gt;"",ROW(AT7:AT48)-MIN(ROW(AT7:AT48))+1))),ROW()-ROW(A$51)+1))," ",TEXT(INDEX(AT7:AT48,SMALL(IF(ISNUMBER(AT7:AT48),IF(AT7:AT48&gt;0,IF(AW7:AW48&lt;&gt;"",ROW(AT7:AT48)-MIN(ROW(AT7:AT48))+1))),ROW()-ROW(A$51)+1)),"##0")," ",SUBSTITUTE(INDEX(IF(PURCHASE_DESCRIPTION&lt;&gt;"",PURCHASE_DESCRIPTION&amp;":","")&amp;A7:A48,SMALL(IF(ISNUMBER(AT7:AT48),IF(AT7:AT48&gt;0,IF(AW7:AW48&lt;&gt;"",ROW(AT7:AT48)-MIN(ROW(AT7:AT48))+1))),ROW()-ROW(A$51)+1))," ",";")),"")</f>
        <v>0</v>
      </c>
    </row>
    <row r="83" spans="11:46">
      <c r="K83">
        <f t="array" ref="K83">IFERROR(CONCATENATE(INDEX(N7:N48,SMALL(IF(ISNUMBER(K7:K48),IF(K7:K48&gt;0,IF(N7:N48&lt;&gt;"",ROW(K7:K48)-MIN(ROW(K7:K48))+1))),ROW()-ROW(A$51)+1)),",",TEXT(INDEX(K7:K48,SMALL(IF(ISNUMBER(K7:K48),IF(K7:K48&gt;0,IF(N7:N48&lt;&gt;"",ROW(K7:K48)-MIN(ROW(K7:K48))+1))),ROW()-ROW(A$51)+1)),"##0"),",",SUBSTITUTE(INDEX(IF(PURCHASE_DESCRIPTION&lt;&gt;"",PURCHASE_DESCRIPTION&amp;":","")&amp;A7:A48,SMALL(IF(ISNUMBER(K7:K48),IF(K7:K48&gt;0,IF(N7:N48&lt;&gt;"",ROW(K7:K48)-MIN(ROW(K7:K48))+1))),ROW()-ROW(A$51)+1)),",",";")),"")</f>
        <v>0</v>
      </c>
      <c r="P83">
        <f t="array" ref="P83">IFERROR(CONCATENATE(TEXT(INDEX(P7:P48,SMALL(IF(ISNUMBER(P7:P48),IF(P7:P48&gt;0,IF(S7:S48&lt;&gt;"",ROW(P7:P48)-MIN(ROW(P7:P48))+1))),ROW()-ROW(A$51)+1)),"##0"),",",INDEX(S7:S48,SMALL(IF(ISNUMBER(P7:P48),IF(P7:P48&gt;0,IF(S7:S48&lt;&gt;"",ROW(P7:P48)-MIN(ROW(P7:P48))+1))),ROW()-ROW(A$51)+1)),",",SUBSTITUTE(INDEX(IF(PURCHASE_DESCRIPTION&lt;&gt;"",PURCHASE_DESCRIPTION&amp;":","")&amp;A7:A48,SMALL(IF(ISNUMBER(P7:P48),IF(P7:P48&gt;0,IF(S7:S48&lt;&gt;"",ROW(P7:P48)-MIN(ROW(P7:P48))+1))),ROW()-ROW(A$51)+1)),",",";")),"")</f>
        <v>0</v>
      </c>
      <c r="U83">
        <f t="array" ref="U83">IFERROR(CONCATENATE(INDEX(X7:X48,SMALL(IF(ISNUMBER(U7:U48),IF(U7:U48&gt;0,IF(X7:X48&lt;&gt;"",ROW(U7:U48)-MIN(ROW(U7:U48))+1))),ROW()-ROW(A$51)+1))," ",TEXT(INDEX(U7:U48,SMALL(IF(ISNUMBER(U7:U48),IF(U7:U48&gt;0,IF(X7:X48&lt;&gt;"",ROW(U7:U48)-MIN(ROW(U7:U48))+1))),ROW()-ROW(A$51)+1)),"##0")," ",SUBSTITUTE(INDEX(IF(PURCHASE_DESCRIPTION&lt;&gt;"",PURCHASE_DESCRIPTION&amp;":","")&amp;A7:A48,SMALL(IF(ISNUMBER(U7:U48),IF(U7:U48&gt;0,IF(X7:X48&lt;&gt;"",ROW(U7:U48)-MIN(ROW(U7:U48))+1))),ROW()-ROW(A$51)+1))," ",";")),"")</f>
        <v>0</v>
      </c>
      <c r="Z83">
        <f t="array" ref="Z83">IFERROR(CONCATENATE(TEXT(INDEX(Z7:Z48,SMALL(IF(ISNUMBER(Z7:Z48),IF(Z7:Z48&gt;0,IF(AC7:AC48&lt;&gt;"",ROW(Z7:Z48)-MIN(ROW(Z7:Z48))+1))),ROW()-ROW(A$52)+1)),"##0"),",",SUBSTITUTE(INDEX(IF(PURCHASE_DESCRIPTION&lt;&gt;"",PURCHASE_DESCRIPTION&amp;":","")&amp;A7:A48,SMALL(IF(ISNUMBER(Z7:Z48),IF(Z7:Z48&gt;0,IF(AC7:AC48&lt;&gt;"",ROW(Z7:Z48)-MIN(ROW(Z7:Z48))+1))),ROW()-ROW(A$52)+1)),",",";"),",",SUBSTITUTE(INDEX(IF(PURCHASE_DESCRIPTION&lt;&gt;"",PURCHASE_DESCRIPTION&amp;":","")&amp;D7:D48,SMALL(IF(ISNUMBER(Z7:Z48),IF(Z7:Z48&gt;0,IF(AC7:AC48&lt;&gt;"",ROW(Z7:Z48)-MIN(ROW(Z7:Z48))+1))),ROW()-ROW(A$52)+1)),",",";"),",",INDEX(AC7:AC48,SMALL(IF(ISNUMBER(Z7:Z48),IF(Z7:Z48&gt;0,IF(AC7:AC48&lt;&gt;"",ROW(Z7:Z48)-MIN(ROW(Z7:Z48))+1))),ROW()-ROW(A$52)+1))),"")</f>
        <v>0</v>
      </c>
      <c r="AE83">
        <f t="array" ref="AE83">IFERROR(CONCATENATE(INDEX(AH7:AH48,SMALL(IF(ISNUMBER(AE7:AE48),IF(AE7:AE48&gt;0,IF(AH7:AH48&lt;&gt;"",ROW(AE7:AE48)-MIN(ROW(AE7:AE48))+1))),ROW()-ROW(A$51)+1)),"|",TEXT(INDEX(AE7:AE48,SMALL(IF(ISNUMBER(AE7:AE48),IF(AE7:AE48&gt;0,IF(AH7:AH48&lt;&gt;"",ROW(AE7:AE48)-MIN(ROW(AE7:AE48))+1))),ROW()-ROW(A$51)+1)),"##0"),"|",SUBSTITUTE(SUBSTITUTE(INDEX(IF(PURCHASE_DESCRIPTION&lt;&gt;"",PURCHASE_DESCRIPTION&amp;":","")&amp;A7:A48,SMALL(IF(ISNUMBER(AE7:AE48),IF(AE7:AE48&gt;0,IF(AH7:AH48&lt;&gt;"",ROW(AE7:AE48)-MIN(ROW(AE7:AE48))+1))),ROW()-ROW(A$51)+1)),"|",";")," ","_")),"")</f>
        <v>0</v>
      </c>
      <c r="AJ83">
        <f t="array" ref="AJ83">IFERROR(CONCATENATE(INDEX(AM7:AM48,SMALL(IF(ISNUMBER(AJ7:AJ48),IF(AJ7:AJ48&gt;0,IF(AM7:AM48&lt;&gt;"",ROW(AJ7:AJ48)-MIN(ROW(AJ7:AJ48))+1))),ROW()-ROW(A$51)+1)),",",TEXT(INDEX(AJ7:AJ48,SMALL(IF(ISNUMBER(AJ7:AJ48),IF(AJ7:AJ48&gt;0,IF(AM7:AM48&lt;&gt;"",ROW(AJ7:AJ48)-MIN(ROW(AJ7:AJ48))+1))),ROW()-ROW(A$51)+1)),"##0"),",",SUBSTITUTE(INDEX(IF(PURCHASE_DESCRIPTION&lt;&gt;"",PURCHASE_DESCRIPTION&amp;":","")&amp;A7:A48,SMALL(IF(ISNUMBER(AJ7:AJ48),IF(AJ7:AJ48&gt;0,IF(AM7:AM48&lt;&gt;"",ROW(AJ7:AJ48)-MIN(ROW(AJ7:AJ48))+1))),ROW()-ROW(A$51)+1)),",",";")),"")</f>
        <v>0</v>
      </c>
      <c r="AO83">
        <f t="array" ref="AO83">IFERROR(CONCATENATE(INDEX(AR7:AR48,SMALL(IF(ISNUMBER(AO7:AO48),IF(AO7:AO48&gt;0,IF(AR7:AR48&lt;&gt;"",ROW(AO7:AO48)-MIN(ROW(AO7:AO48))+1))),ROW()-ROW(A$51)+1))," ",TEXT(INDEX(AO7:AO48,SMALL(IF(ISNUMBER(AO7:AO48),IF(AO7:AO48&gt;0,IF(AR7:AR48&lt;&gt;"",ROW(AO7:AO48)-MIN(ROW(AO7:AO48))+1))),ROW()-ROW(A$51)+1)),"##0")," ",SUBSTITUTE(INDEX(IF(PURCHASE_DESCRIPTION&lt;&gt;"",PURCHASE_DESCRIPTION&amp;":","")&amp;A7:A48,SMALL(IF(ISNUMBER(AO7:AO48),IF(AO7:AO48&gt;0,IF(AR7:AR48&lt;&gt;"",ROW(AO7:AO48)-MIN(ROW(AO7:AO48))+1))),ROW()-ROW(A$51)+1))," ",";")),"")</f>
        <v>0</v>
      </c>
      <c r="AT83">
        <f t="array" ref="AT83">IFERROR(CONCATENATE(INDEX(AW7:AW48,SMALL(IF(ISNUMBER(AT7:AT48),IF(AT7:AT48&gt;0,IF(AW7:AW48&lt;&gt;"",ROW(AT7:AT48)-MIN(ROW(AT7:AT48))+1))),ROW()-ROW(A$51)+1))," ",TEXT(INDEX(AT7:AT48,SMALL(IF(ISNUMBER(AT7:AT48),IF(AT7:AT48&gt;0,IF(AW7:AW48&lt;&gt;"",ROW(AT7:AT48)-MIN(ROW(AT7:AT48))+1))),ROW()-ROW(A$51)+1)),"##0")," ",SUBSTITUTE(INDEX(IF(PURCHASE_DESCRIPTION&lt;&gt;"",PURCHASE_DESCRIPTION&amp;":","")&amp;A7:A48,SMALL(IF(ISNUMBER(AT7:AT48),IF(AT7:AT48&gt;0,IF(AW7:AW48&lt;&gt;"",ROW(AT7:AT48)-MIN(ROW(AT7:AT48))+1))),ROW()-ROW(A$51)+1))," ",";")),"")</f>
        <v>0</v>
      </c>
    </row>
    <row r="84" spans="11:46">
      <c r="K84">
        <f t="array" ref="K84">IFERROR(CONCATENATE(INDEX(N7:N48,SMALL(IF(ISNUMBER(K7:K48),IF(K7:K48&gt;0,IF(N7:N48&lt;&gt;"",ROW(K7:K48)-MIN(ROW(K7:K48))+1))),ROW()-ROW(A$51)+1)),",",TEXT(INDEX(K7:K48,SMALL(IF(ISNUMBER(K7:K48),IF(K7:K48&gt;0,IF(N7:N48&lt;&gt;"",ROW(K7:K48)-MIN(ROW(K7:K48))+1))),ROW()-ROW(A$51)+1)),"##0"),",",SUBSTITUTE(INDEX(IF(PURCHASE_DESCRIPTION&lt;&gt;"",PURCHASE_DESCRIPTION&amp;":","")&amp;A7:A48,SMALL(IF(ISNUMBER(K7:K48),IF(K7:K48&gt;0,IF(N7:N48&lt;&gt;"",ROW(K7:K48)-MIN(ROW(K7:K48))+1))),ROW()-ROW(A$51)+1)),",",";")),"")</f>
        <v>0</v>
      </c>
      <c r="P84">
        <f t="array" ref="P84">IFERROR(CONCATENATE(TEXT(INDEX(P7:P48,SMALL(IF(ISNUMBER(P7:P48),IF(P7:P48&gt;0,IF(S7:S48&lt;&gt;"",ROW(P7:P48)-MIN(ROW(P7:P48))+1))),ROW()-ROW(A$51)+1)),"##0"),",",INDEX(S7:S48,SMALL(IF(ISNUMBER(P7:P48),IF(P7:P48&gt;0,IF(S7:S48&lt;&gt;"",ROW(P7:P48)-MIN(ROW(P7:P48))+1))),ROW()-ROW(A$51)+1)),",",SUBSTITUTE(INDEX(IF(PURCHASE_DESCRIPTION&lt;&gt;"",PURCHASE_DESCRIPTION&amp;":","")&amp;A7:A48,SMALL(IF(ISNUMBER(P7:P48),IF(P7:P48&gt;0,IF(S7:S48&lt;&gt;"",ROW(P7:P48)-MIN(ROW(P7:P48))+1))),ROW()-ROW(A$51)+1)),",",";")),"")</f>
        <v>0</v>
      </c>
      <c r="U84">
        <f t="array" ref="U84">IFERROR(CONCATENATE(INDEX(X7:X48,SMALL(IF(ISNUMBER(U7:U48),IF(U7:U48&gt;0,IF(X7:X48&lt;&gt;"",ROW(U7:U48)-MIN(ROW(U7:U48))+1))),ROW()-ROW(A$51)+1))," ",TEXT(INDEX(U7:U48,SMALL(IF(ISNUMBER(U7:U48),IF(U7:U48&gt;0,IF(X7:X48&lt;&gt;"",ROW(U7:U48)-MIN(ROW(U7:U48))+1))),ROW()-ROW(A$51)+1)),"##0")," ",SUBSTITUTE(INDEX(IF(PURCHASE_DESCRIPTION&lt;&gt;"",PURCHASE_DESCRIPTION&amp;":","")&amp;A7:A48,SMALL(IF(ISNUMBER(U7:U48),IF(U7:U48&gt;0,IF(X7:X48&lt;&gt;"",ROW(U7:U48)-MIN(ROW(U7:U48))+1))),ROW()-ROW(A$51)+1))," ",";")),"")</f>
        <v>0</v>
      </c>
      <c r="Z84">
        <f t="array" ref="Z84">IFERROR(CONCATENATE(TEXT(INDEX(Z7:Z48,SMALL(IF(ISNUMBER(Z7:Z48),IF(Z7:Z48&gt;0,IF(AC7:AC48&lt;&gt;"",ROW(Z7:Z48)-MIN(ROW(Z7:Z48))+1))),ROW()-ROW(A$52)+1)),"##0"),",",SUBSTITUTE(INDEX(IF(PURCHASE_DESCRIPTION&lt;&gt;"",PURCHASE_DESCRIPTION&amp;":","")&amp;A7:A48,SMALL(IF(ISNUMBER(Z7:Z48),IF(Z7:Z48&gt;0,IF(AC7:AC48&lt;&gt;"",ROW(Z7:Z48)-MIN(ROW(Z7:Z48))+1))),ROW()-ROW(A$52)+1)),",",";"),",",SUBSTITUTE(INDEX(IF(PURCHASE_DESCRIPTION&lt;&gt;"",PURCHASE_DESCRIPTION&amp;":","")&amp;D7:D48,SMALL(IF(ISNUMBER(Z7:Z48),IF(Z7:Z48&gt;0,IF(AC7:AC48&lt;&gt;"",ROW(Z7:Z48)-MIN(ROW(Z7:Z48))+1))),ROW()-ROW(A$52)+1)),",",";"),",",INDEX(AC7:AC48,SMALL(IF(ISNUMBER(Z7:Z48),IF(Z7:Z48&gt;0,IF(AC7:AC48&lt;&gt;"",ROW(Z7:Z48)-MIN(ROW(Z7:Z48))+1))),ROW()-ROW(A$52)+1))),"")</f>
        <v>0</v>
      </c>
      <c r="AE84">
        <f t="array" ref="AE84">IFERROR(CONCATENATE(INDEX(AH7:AH48,SMALL(IF(ISNUMBER(AE7:AE48),IF(AE7:AE48&gt;0,IF(AH7:AH48&lt;&gt;"",ROW(AE7:AE48)-MIN(ROW(AE7:AE48))+1))),ROW()-ROW(A$51)+1)),"|",TEXT(INDEX(AE7:AE48,SMALL(IF(ISNUMBER(AE7:AE48),IF(AE7:AE48&gt;0,IF(AH7:AH48&lt;&gt;"",ROW(AE7:AE48)-MIN(ROW(AE7:AE48))+1))),ROW()-ROW(A$51)+1)),"##0"),"|",SUBSTITUTE(SUBSTITUTE(INDEX(IF(PURCHASE_DESCRIPTION&lt;&gt;"",PURCHASE_DESCRIPTION&amp;":","")&amp;A7:A48,SMALL(IF(ISNUMBER(AE7:AE48),IF(AE7:AE48&gt;0,IF(AH7:AH48&lt;&gt;"",ROW(AE7:AE48)-MIN(ROW(AE7:AE48))+1))),ROW()-ROW(A$51)+1)),"|",";")," ","_")),"")</f>
        <v>0</v>
      </c>
      <c r="AJ84">
        <f t="array" ref="AJ84">IFERROR(CONCATENATE(INDEX(AM7:AM48,SMALL(IF(ISNUMBER(AJ7:AJ48),IF(AJ7:AJ48&gt;0,IF(AM7:AM48&lt;&gt;"",ROW(AJ7:AJ48)-MIN(ROW(AJ7:AJ48))+1))),ROW()-ROW(A$51)+1)),",",TEXT(INDEX(AJ7:AJ48,SMALL(IF(ISNUMBER(AJ7:AJ48),IF(AJ7:AJ48&gt;0,IF(AM7:AM48&lt;&gt;"",ROW(AJ7:AJ48)-MIN(ROW(AJ7:AJ48))+1))),ROW()-ROW(A$51)+1)),"##0"),",",SUBSTITUTE(INDEX(IF(PURCHASE_DESCRIPTION&lt;&gt;"",PURCHASE_DESCRIPTION&amp;":","")&amp;A7:A48,SMALL(IF(ISNUMBER(AJ7:AJ48),IF(AJ7:AJ48&gt;0,IF(AM7:AM48&lt;&gt;"",ROW(AJ7:AJ48)-MIN(ROW(AJ7:AJ48))+1))),ROW()-ROW(A$51)+1)),",",";")),"")</f>
        <v>0</v>
      </c>
      <c r="AO84">
        <f t="array" ref="AO84">IFERROR(CONCATENATE(INDEX(AR7:AR48,SMALL(IF(ISNUMBER(AO7:AO48),IF(AO7:AO48&gt;0,IF(AR7:AR48&lt;&gt;"",ROW(AO7:AO48)-MIN(ROW(AO7:AO48))+1))),ROW()-ROW(A$51)+1))," ",TEXT(INDEX(AO7:AO48,SMALL(IF(ISNUMBER(AO7:AO48),IF(AO7:AO48&gt;0,IF(AR7:AR48&lt;&gt;"",ROW(AO7:AO48)-MIN(ROW(AO7:AO48))+1))),ROW()-ROW(A$51)+1)),"##0")," ",SUBSTITUTE(INDEX(IF(PURCHASE_DESCRIPTION&lt;&gt;"",PURCHASE_DESCRIPTION&amp;":","")&amp;A7:A48,SMALL(IF(ISNUMBER(AO7:AO48),IF(AO7:AO48&gt;0,IF(AR7:AR48&lt;&gt;"",ROW(AO7:AO48)-MIN(ROW(AO7:AO48))+1))),ROW()-ROW(A$51)+1))," ",";")),"")</f>
        <v>0</v>
      </c>
      <c r="AT84">
        <f t="array" ref="AT84">IFERROR(CONCATENATE(INDEX(AW7:AW48,SMALL(IF(ISNUMBER(AT7:AT48),IF(AT7:AT48&gt;0,IF(AW7:AW48&lt;&gt;"",ROW(AT7:AT48)-MIN(ROW(AT7:AT48))+1))),ROW()-ROW(A$51)+1))," ",TEXT(INDEX(AT7:AT48,SMALL(IF(ISNUMBER(AT7:AT48),IF(AT7:AT48&gt;0,IF(AW7:AW48&lt;&gt;"",ROW(AT7:AT48)-MIN(ROW(AT7:AT48))+1))),ROW()-ROW(A$51)+1)),"##0")," ",SUBSTITUTE(INDEX(IF(PURCHASE_DESCRIPTION&lt;&gt;"",PURCHASE_DESCRIPTION&amp;":","")&amp;A7:A48,SMALL(IF(ISNUMBER(AT7:AT48),IF(AT7:AT48&gt;0,IF(AW7:AW48&lt;&gt;"",ROW(AT7:AT48)-MIN(ROW(AT7:AT48))+1))),ROW()-ROW(A$51)+1))," ",";")),"")</f>
        <v>0</v>
      </c>
    </row>
    <row r="85" spans="11:46">
      <c r="K85">
        <f t="array" ref="K85">IFERROR(CONCATENATE(INDEX(N7:N48,SMALL(IF(ISNUMBER(K7:K48),IF(K7:K48&gt;0,IF(N7:N48&lt;&gt;"",ROW(K7:K48)-MIN(ROW(K7:K48))+1))),ROW()-ROW(A$51)+1)),",",TEXT(INDEX(K7:K48,SMALL(IF(ISNUMBER(K7:K48),IF(K7:K48&gt;0,IF(N7:N48&lt;&gt;"",ROW(K7:K48)-MIN(ROW(K7:K48))+1))),ROW()-ROW(A$51)+1)),"##0"),",",SUBSTITUTE(INDEX(IF(PURCHASE_DESCRIPTION&lt;&gt;"",PURCHASE_DESCRIPTION&amp;":","")&amp;A7:A48,SMALL(IF(ISNUMBER(K7:K48),IF(K7:K48&gt;0,IF(N7:N48&lt;&gt;"",ROW(K7:K48)-MIN(ROW(K7:K48))+1))),ROW()-ROW(A$51)+1)),",",";")),"")</f>
        <v>0</v>
      </c>
      <c r="P85">
        <f t="array" ref="P85">IFERROR(CONCATENATE(TEXT(INDEX(P7:P48,SMALL(IF(ISNUMBER(P7:P48),IF(P7:P48&gt;0,IF(S7:S48&lt;&gt;"",ROW(P7:P48)-MIN(ROW(P7:P48))+1))),ROW()-ROW(A$51)+1)),"##0"),",",INDEX(S7:S48,SMALL(IF(ISNUMBER(P7:P48),IF(P7:P48&gt;0,IF(S7:S48&lt;&gt;"",ROW(P7:P48)-MIN(ROW(P7:P48))+1))),ROW()-ROW(A$51)+1)),",",SUBSTITUTE(INDEX(IF(PURCHASE_DESCRIPTION&lt;&gt;"",PURCHASE_DESCRIPTION&amp;":","")&amp;A7:A48,SMALL(IF(ISNUMBER(P7:P48),IF(P7:P48&gt;0,IF(S7:S48&lt;&gt;"",ROW(P7:P48)-MIN(ROW(P7:P48))+1))),ROW()-ROW(A$51)+1)),",",";")),"")</f>
        <v>0</v>
      </c>
      <c r="U85">
        <f t="array" ref="U85">IFERROR(CONCATENATE(INDEX(X7:X48,SMALL(IF(ISNUMBER(U7:U48),IF(U7:U48&gt;0,IF(X7:X48&lt;&gt;"",ROW(U7:U48)-MIN(ROW(U7:U48))+1))),ROW()-ROW(A$51)+1))," ",TEXT(INDEX(U7:U48,SMALL(IF(ISNUMBER(U7:U48),IF(U7:U48&gt;0,IF(X7:X48&lt;&gt;"",ROW(U7:U48)-MIN(ROW(U7:U48))+1))),ROW()-ROW(A$51)+1)),"##0")," ",SUBSTITUTE(INDEX(IF(PURCHASE_DESCRIPTION&lt;&gt;"",PURCHASE_DESCRIPTION&amp;":","")&amp;A7:A48,SMALL(IF(ISNUMBER(U7:U48),IF(U7:U48&gt;0,IF(X7:X48&lt;&gt;"",ROW(U7:U48)-MIN(ROW(U7:U48))+1))),ROW()-ROW(A$51)+1))," ",";")),"")</f>
        <v>0</v>
      </c>
      <c r="Z85">
        <f t="array" ref="Z85">IFERROR(CONCATENATE(TEXT(INDEX(Z7:Z48,SMALL(IF(ISNUMBER(Z7:Z48),IF(Z7:Z48&gt;0,IF(AC7:AC48&lt;&gt;"",ROW(Z7:Z48)-MIN(ROW(Z7:Z48))+1))),ROW()-ROW(A$52)+1)),"##0"),",",SUBSTITUTE(INDEX(IF(PURCHASE_DESCRIPTION&lt;&gt;"",PURCHASE_DESCRIPTION&amp;":","")&amp;A7:A48,SMALL(IF(ISNUMBER(Z7:Z48),IF(Z7:Z48&gt;0,IF(AC7:AC48&lt;&gt;"",ROW(Z7:Z48)-MIN(ROW(Z7:Z48))+1))),ROW()-ROW(A$52)+1)),",",";"),",",SUBSTITUTE(INDEX(IF(PURCHASE_DESCRIPTION&lt;&gt;"",PURCHASE_DESCRIPTION&amp;":","")&amp;D7:D48,SMALL(IF(ISNUMBER(Z7:Z48),IF(Z7:Z48&gt;0,IF(AC7:AC48&lt;&gt;"",ROW(Z7:Z48)-MIN(ROW(Z7:Z48))+1))),ROW()-ROW(A$52)+1)),",",";"),",",INDEX(AC7:AC48,SMALL(IF(ISNUMBER(Z7:Z48),IF(Z7:Z48&gt;0,IF(AC7:AC48&lt;&gt;"",ROW(Z7:Z48)-MIN(ROW(Z7:Z48))+1))),ROW()-ROW(A$52)+1))),"")</f>
        <v>0</v>
      </c>
      <c r="AE85">
        <f t="array" ref="AE85">IFERROR(CONCATENATE(INDEX(AH7:AH48,SMALL(IF(ISNUMBER(AE7:AE48),IF(AE7:AE48&gt;0,IF(AH7:AH48&lt;&gt;"",ROW(AE7:AE48)-MIN(ROW(AE7:AE48))+1))),ROW()-ROW(A$51)+1)),"|",TEXT(INDEX(AE7:AE48,SMALL(IF(ISNUMBER(AE7:AE48),IF(AE7:AE48&gt;0,IF(AH7:AH48&lt;&gt;"",ROW(AE7:AE48)-MIN(ROW(AE7:AE48))+1))),ROW()-ROW(A$51)+1)),"##0"),"|",SUBSTITUTE(SUBSTITUTE(INDEX(IF(PURCHASE_DESCRIPTION&lt;&gt;"",PURCHASE_DESCRIPTION&amp;":","")&amp;A7:A48,SMALL(IF(ISNUMBER(AE7:AE48),IF(AE7:AE48&gt;0,IF(AH7:AH48&lt;&gt;"",ROW(AE7:AE48)-MIN(ROW(AE7:AE48))+1))),ROW()-ROW(A$51)+1)),"|",";")," ","_")),"")</f>
        <v>0</v>
      </c>
      <c r="AJ85">
        <f t="array" ref="AJ85">IFERROR(CONCATENATE(INDEX(AM7:AM48,SMALL(IF(ISNUMBER(AJ7:AJ48),IF(AJ7:AJ48&gt;0,IF(AM7:AM48&lt;&gt;"",ROW(AJ7:AJ48)-MIN(ROW(AJ7:AJ48))+1))),ROW()-ROW(A$51)+1)),",",TEXT(INDEX(AJ7:AJ48,SMALL(IF(ISNUMBER(AJ7:AJ48),IF(AJ7:AJ48&gt;0,IF(AM7:AM48&lt;&gt;"",ROW(AJ7:AJ48)-MIN(ROW(AJ7:AJ48))+1))),ROW()-ROW(A$51)+1)),"##0"),",",SUBSTITUTE(INDEX(IF(PURCHASE_DESCRIPTION&lt;&gt;"",PURCHASE_DESCRIPTION&amp;":","")&amp;A7:A48,SMALL(IF(ISNUMBER(AJ7:AJ48),IF(AJ7:AJ48&gt;0,IF(AM7:AM48&lt;&gt;"",ROW(AJ7:AJ48)-MIN(ROW(AJ7:AJ48))+1))),ROW()-ROW(A$51)+1)),",",";")),"")</f>
        <v>0</v>
      </c>
      <c r="AO85">
        <f t="array" ref="AO85">IFERROR(CONCATENATE(INDEX(AR7:AR48,SMALL(IF(ISNUMBER(AO7:AO48),IF(AO7:AO48&gt;0,IF(AR7:AR48&lt;&gt;"",ROW(AO7:AO48)-MIN(ROW(AO7:AO48))+1))),ROW()-ROW(A$51)+1))," ",TEXT(INDEX(AO7:AO48,SMALL(IF(ISNUMBER(AO7:AO48),IF(AO7:AO48&gt;0,IF(AR7:AR48&lt;&gt;"",ROW(AO7:AO48)-MIN(ROW(AO7:AO48))+1))),ROW()-ROW(A$51)+1)),"##0")," ",SUBSTITUTE(INDEX(IF(PURCHASE_DESCRIPTION&lt;&gt;"",PURCHASE_DESCRIPTION&amp;":","")&amp;A7:A48,SMALL(IF(ISNUMBER(AO7:AO48),IF(AO7:AO48&gt;0,IF(AR7:AR48&lt;&gt;"",ROW(AO7:AO48)-MIN(ROW(AO7:AO48))+1))),ROW()-ROW(A$51)+1))," ",";")),"")</f>
        <v>0</v>
      </c>
      <c r="AT85">
        <f t="array" ref="AT85">IFERROR(CONCATENATE(INDEX(AW7:AW48,SMALL(IF(ISNUMBER(AT7:AT48),IF(AT7:AT48&gt;0,IF(AW7:AW48&lt;&gt;"",ROW(AT7:AT48)-MIN(ROW(AT7:AT48))+1))),ROW()-ROW(A$51)+1))," ",TEXT(INDEX(AT7:AT48,SMALL(IF(ISNUMBER(AT7:AT48),IF(AT7:AT48&gt;0,IF(AW7:AW48&lt;&gt;"",ROW(AT7:AT48)-MIN(ROW(AT7:AT48))+1))),ROW()-ROW(A$51)+1)),"##0")," ",SUBSTITUTE(INDEX(IF(PURCHASE_DESCRIPTION&lt;&gt;"",PURCHASE_DESCRIPTION&amp;":","")&amp;A7:A48,SMALL(IF(ISNUMBER(AT7:AT48),IF(AT7:AT48&gt;0,IF(AW7:AW48&lt;&gt;"",ROW(AT7:AT48)-MIN(ROW(AT7:AT48))+1))),ROW()-ROW(A$51)+1))," ",";")),"")</f>
        <v>0</v>
      </c>
    </row>
    <row r="86" spans="11:46">
      <c r="K86">
        <f t="array" ref="K86">IFERROR(CONCATENATE(INDEX(N7:N48,SMALL(IF(ISNUMBER(K7:K48),IF(K7:K48&gt;0,IF(N7:N48&lt;&gt;"",ROW(K7:K48)-MIN(ROW(K7:K48))+1))),ROW()-ROW(A$51)+1)),",",TEXT(INDEX(K7:K48,SMALL(IF(ISNUMBER(K7:K48),IF(K7:K48&gt;0,IF(N7:N48&lt;&gt;"",ROW(K7:K48)-MIN(ROW(K7:K48))+1))),ROW()-ROW(A$51)+1)),"##0"),",",SUBSTITUTE(INDEX(IF(PURCHASE_DESCRIPTION&lt;&gt;"",PURCHASE_DESCRIPTION&amp;":","")&amp;A7:A48,SMALL(IF(ISNUMBER(K7:K48),IF(K7:K48&gt;0,IF(N7:N48&lt;&gt;"",ROW(K7:K48)-MIN(ROW(K7:K48))+1))),ROW()-ROW(A$51)+1)),",",";")),"")</f>
        <v>0</v>
      </c>
      <c r="P86">
        <f t="array" ref="P86">IFERROR(CONCATENATE(TEXT(INDEX(P7:P48,SMALL(IF(ISNUMBER(P7:P48),IF(P7:P48&gt;0,IF(S7:S48&lt;&gt;"",ROW(P7:P48)-MIN(ROW(P7:P48))+1))),ROW()-ROW(A$51)+1)),"##0"),",",INDEX(S7:S48,SMALL(IF(ISNUMBER(P7:P48),IF(P7:P48&gt;0,IF(S7:S48&lt;&gt;"",ROW(P7:P48)-MIN(ROW(P7:P48))+1))),ROW()-ROW(A$51)+1)),",",SUBSTITUTE(INDEX(IF(PURCHASE_DESCRIPTION&lt;&gt;"",PURCHASE_DESCRIPTION&amp;":","")&amp;A7:A48,SMALL(IF(ISNUMBER(P7:P48),IF(P7:P48&gt;0,IF(S7:S48&lt;&gt;"",ROW(P7:P48)-MIN(ROW(P7:P48))+1))),ROW()-ROW(A$51)+1)),",",";")),"")</f>
        <v>0</v>
      </c>
      <c r="U86">
        <f t="array" ref="U86">IFERROR(CONCATENATE(INDEX(X7:X48,SMALL(IF(ISNUMBER(U7:U48),IF(U7:U48&gt;0,IF(X7:X48&lt;&gt;"",ROW(U7:U48)-MIN(ROW(U7:U48))+1))),ROW()-ROW(A$51)+1))," ",TEXT(INDEX(U7:U48,SMALL(IF(ISNUMBER(U7:U48),IF(U7:U48&gt;0,IF(X7:X48&lt;&gt;"",ROW(U7:U48)-MIN(ROW(U7:U48))+1))),ROW()-ROW(A$51)+1)),"##0")," ",SUBSTITUTE(INDEX(IF(PURCHASE_DESCRIPTION&lt;&gt;"",PURCHASE_DESCRIPTION&amp;":","")&amp;A7:A48,SMALL(IF(ISNUMBER(U7:U48),IF(U7:U48&gt;0,IF(X7:X48&lt;&gt;"",ROW(U7:U48)-MIN(ROW(U7:U48))+1))),ROW()-ROW(A$51)+1))," ",";")),"")</f>
        <v>0</v>
      </c>
      <c r="Z86">
        <f t="array" ref="Z86">IFERROR(CONCATENATE(TEXT(INDEX(Z7:Z48,SMALL(IF(ISNUMBER(Z7:Z48),IF(Z7:Z48&gt;0,IF(AC7:AC48&lt;&gt;"",ROW(Z7:Z48)-MIN(ROW(Z7:Z48))+1))),ROW()-ROW(A$52)+1)),"##0"),",",SUBSTITUTE(INDEX(IF(PURCHASE_DESCRIPTION&lt;&gt;"",PURCHASE_DESCRIPTION&amp;":","")&amp;A7:A48,SMALL(IF(ISNUMBER(Z7:Z48),IF(Z7:Z48&gt;0,IF(AC7:AC48&lt;&gt;"",ROW(Z7:Z48)-MIN(ROW(Z7:Z48))+1))),ROW()-ROW(A$52)+1)),",",";"),",",SUBSTITUTE(INDEX(IF(PURCHASE_DESCRIPTION&lt;&gt;"",PURCHASE_DESCRIPTION&amp;":","")&amp;D7:D48,SMALL(IF(ISNUMBER(Z7:Z48),IF(Z7:Z48&gt;0,IF(AC7:AC48&lt;&gt;"",ROW(Z7:Z48)-MIN(ROW(Z7:Z48))+1))),ROW()-ROW(A$52)+1)),",",";"),",",INDEX(AC7:AC48,SMALL(IF(ISNUMBER(Z7:Z48),IF(Z7:Z48&gt;0,IF(AC7:AC48&lt;&gt;"",ROW(Z7:Z48)-MIN(ROW(Z7:Z48))+1))),ROW()-ROW(A$52)+1))),"")</f>
        <v>0</v>
      </c>
      <c r="AE86">
        <f t="array" ref="AE86">IFERROR(CONCATENATE(INDEX(AH7:AH48,SMALL(IF(ISNUMBER(AE7:AE48),IF(AE7:AE48&gt;0,IF(AH7:AH48&lt;&gt;"",ROW(AE7:AE48)-MIN(ROW(AE7:AE48))+1))),ROW()-ROW(A$51)+1)),"|",TEXT(INDEX(AE7:AE48,SMALL(IF(ISNUMBER(AE7:AE48),IF(AE7:AE48&gt;0,IF(AH7:AH48&lt;&gt;"",ROW(AE7:AE48)-MIN(ROW(AE7:AE48))+1))),ROW()-ROW(A$51)+1)),"##0"),"|",SUBSTITUTE(SUBSTITUTE(INDEX(IF(PURCHASE_DESCRIPTION&lt;&gt;"",PURCHASE_DESCRIPTION&amp;":","")&amp;A7:A48,SMALL(IF(ISNUMBER(AE7:AE48),IF(AE7:AE48&gt;0,IF(AH7:AH48&lt;&gt;"",ROW(AE7:AE48)-MIN(ROW(AE7:AE48))+1))),ROW()-ROW(A$51)+1)),"|",";")," ","_")),"")</f>
        <v>0</v>
      </c>
      <c r="AJ86">
        <f t="array" ref="AJ86">IFERROR(CONCATENATE(INDEX(AM7:AM48,SMALL(IF(ISNUMBER(AJ7:AJ48),IF(AJ7:AJ48&gt;0,IF(AM7:AM48&lt;&gt;"",ROW(AJ7:AJ48)-MIN(ROW(AJ7:AJ48))+1))),ROW()-ROW(A$51)+1)),",",TEXT(INDEX(AJ7:AJ48,SMALL(IF(ISNUMBER(AJ7:AJ48),IF(AJ7:AJ48&gt;0,IF(AM7:AM48&lt;&gt;"",ROW(AJ7:AJ48)-MIN(ROW(AJ7:AJ48))+1))),ROW()-ROW(A$51)+1)),"##0"),",",SUBSTITUTE(INDEX(IF(PURCHASE_DESCRIPTION&lt;&gt;"",PURCHASE_DESCRIPTION&amp;":","")&amp;A7:A48,SMALL(IF(ISNUMBER(AJ7:AJ48),IF(AJ7:AJ48&gt;0,IF(AM7:AM48&lt;&gt;"",ROW(AJ7:AJ48)-MIN(ROW(AJ7:AJ48))+1))),ROW()-ROW(A$51)+1)),",",";")),"")</f>
        <v>0</v>
      </c>
      <c r="AO86">
        <f t="array" ref="AO86">IFERROR(CONCATENATE(INDEX(AR7:AR48,SMALL(IF(ISNUMBER(AO7:AO48),IF(AO7:AO48&gt;0,IF(AR7:AR48&lt;&gt;"",ROW(AO7:AO48)-MIN(ROW(AO7:AO48))+1))),ROW()-ROW(A$51)+1))," ",TEXT(INDEX(AO7:AO48,SMALL(IF(ISNUMBER(AO7:AO48),IF(AO7:AO48&gt;0,IF(AR7:AR48&lt;&gt;"",ROW(AO7:AO48)-MIN(ROW(AO7:AO48))+1))),ROW()-ROW(A$51)+1)),"##0")," ",SUBSTITUTE(INDEX(IF(PURCHASE_DESCRIPTION&lt;&gt;"",PURCHASE_DESCRIPTION&amp;":","")&amp;A7:A48,SMALL(IF(ISNUMBER(AO7:AO48),IF(AO7:AO48&gt;0,IF(AR7:AR48&lt;&gt;"",ROW(AO7:AO48)-MIN(ROW(AO7:AO48))+1))),ROW()-ROW(A$51)+1))," ",";")),"")</f>
        <v>0</v>
      </c>
      <c r="AT86">
        <f t="array" ref="AT86">IFERROR(CONCATENATE(INDEX(AW7:AW48,SMALL(IF(ISNUMBER(AT7:AT48),IF(AT7:AT48&gt;0,IF(AW7:AW48&lt;&gt;"",ROW(AT7:AT48)-MIN(ROW(AT7:AT48))+1))),ROW()-ROW(A$51)+1))," ",TEXT(INDEX(AT7:AT48,SMALL(IF(ISNUMBER(AT7:AT48),IF(AT7:AT48&gt;0,IF(AW7:AW48&lt;&gt;"",ROW(AT7:AT48)-MIN(ROW(AT7:AT48))+1))),ROW()-ROW(A$51)+1)),"##0")," ",SUBSTITUTE(INDEX(IF(PURCHASE_DESCRIPTION&lt;&gt;"",PURCHASE_DESCRIPTION&amp;":","")&amp;A7:A48,SMALL(IF(ISNUMBER(AT7:AT48),IF(AT7:AT48&gt;0,IF(AW7:AW48&lt;&gt;"",ROW(AT7:AT48)-MIN(ROW(AT7:AT48))+1))),ROW()-ROW(A$51)+1))," ",";")),"")</f>
        <v>0</v>
      </c>
    </row>
    <row r="87" spans="11:46">
      <c r="K87">
        <f t="array" ref="K87">IFERROR(CONCATENATE(INDEX(N7:N48,SMALL(IF(ISNUMBER(K7:K48),IF(K7:K48&gt;0,IF(N7:N48&lt;&gt;"",ROW(K7:K48)-MIN(ROW(K7:K48))+1))),ROW()-ROW(A$51)+1)),",",TEXT(INDEX(K7:K48,SMALL(IF(ISNUMBER(K7:K48),IF(K7:K48&gt;0,IF(N7:N48&lt;&gt;"",ROW(K7:K48)-MIN(ROW(K7:K48))+1))),ROW()-ROW(A$51)+1)),"##0"),",",SUBSTITUTE(INDEX(IF(PURCHASE_DESCRIPTION&lt;&gt;"",PURCHASE_DESCRIPTION&amp;":","")&amp;A7:A48,SMALL(IF(ISNUMBER(K7:K48),IF(K7:K48&gt;0,IF(N7:N48&lt;&gt;"",ROW(K7:K48)-MIN(ROW(K7:K48))+1))),ROW()-ROW(A$51)+1)),",",";")),"")</f>
        <v>0</v>
      </c>
      <c r="P87">
        <f t="array" ref="P87">IFERROR(CONCATENATE(TEXT(INDEX(P7:P48,SMALL(IF(ISNUMBER(P7:P48),IF(P7:P48&gt;0,IF(S7:S48&lt;&gt;"",ROW(P7:P48)-MIN(ROW(P7:P48))+1))),ROW()-ROW(A$51)+1)),"##0"),",",INDEX(S7:S48,SMALL(IF(ISNUMBER(P7:P48),IF(P7:P48&gt;0,IF(S7:S48&lt;&gt;"",ROW(P7:P48)-MIN(ROW(P7:P48))+1))),ROW()-ROW(A$51)+1)),",",SUBSTITUTE(INDEX(IF(PURCHASE_DESCRIPTION&lt;&gt;"",PURCHASE_DESCRIPTION&amp;":","")&amp;A7:A48,SMALL(IF(ISNUMBER(P7:P48),IF(P7:P48&gt;0,IF(S7:S48&lt;&gt;"",ROW(P7:P48)-MIN(ROW(P7:P48))+1))),ROW()-ROW(A$51)+1)),",",";")),"")</f>
        <v>0</v>
      </c>
      <c r="U87">
        <f t="array" ref="U87">IFERROR(CONCATENATE(INDEX(X7:X48,SMALL(IF(ISNUMBER(U7:U48),IF(U7:U48&gt;0,IF(X7:X48&lt;&gt;"",ROW(U7:U48)-MIN(ROW(U7:U48))+1))),ROW()-ROW(A$51)+1))," ",TEXT(INDEX(U7:U48,SMALL(IF(ISNUMBER(U7:U48),IF(U7:U48&gt;0,IF(X7:X48&lt;&gt;"",ROW(U7:U48)-MIN(ROW(U7:U48))+1))),ROW()-ROW(A$51)+1)),"##0")," ",SUBSTITUTE(INDEX(IF(PURCHASE_DESCRIPTION&lt;&gt;"",PURCHASE_DESCRIPTION&amp;":","")&amp;A7:A48,SMALL(IF(ISNUMBER(U7:U48),IF(U7:U48&gt;0,IF(X7:X48&lt;&gt;"",ROW(U7:U48)-MIN(ROW(U7:U48))+1))),ROW()-ROW(A$51)+1))," ",";")),"")</f>
        <v>0</v>
      </c>
      <c r="Z87">
        <f t="array" ref="Z87">IFERROR(CONCATENATE(TEXT(INDEX(Z7:Z48,SMALL(IF(ISNUMBER(Z7:Z48),IF(Z7:Z48&gt;0,IF(AC7:AC48&lt;&gt;"",ROW(Z7:Z48)-MIN(ROW(Z7:Z48))+1))),ROW()-ROW(A$52)+1)),"##0"),",",SUBSTITUTE(INDEX(IF(PURCHASE_DESCRIPTION&lt;&gt;"",PURCHASE_DESCRIPTION&amp;":","")&amp;A7:A48,SMALL(IF(ISNUMBER(Z7:Z48),IF(Z7:Z48&gt;0,IF(AC7:AC48&lt;&gt;"",ROW(Z7:Z48)-MIN(ROW(Z7:Z48))+1))),ROW()-ROW(A$52)+1)),",",";"),",",SUBSTITUTE(INDEX(IF(PURCHASE_DESCRIPTION&lt;&gt;"",PURCHASE_DESCRIPTION&amp;":","")&amp;D7:D48,SMALL(IF(ISNUMBER(Z7:Z48),IF(Z7:Z48&gt;0,IF(AC7:AC48&lt;&gt;"",ROW(Z7:Z48)-MIN(ROW(Z7:Z48))+1))),ROW()-ROW(A$52)+1)),",",";"),",",INDEX(AC7:AC48,SMALL(IF(ISNUMBER(Z7:Z48),IF(Z7:Z48&gt;0,IF(AC7:AC48&lt;&gt;"",ROW(Z7:Z48)-MIN(ROW(Z7:Z48))+1))),ROW()-ROW(A$52)+1))),"")</f>
        <v>0</v>
      </c>
      <c r="AE87">
        <f t="array" ref="AE87">IFERROR(CONCATENATE(INDEX(AH7:AH48,SMALL(IF(ISNUMBER(AE7:AE48),IF(AE7:AE48&gt;0,IF(AH7:AH48&lt;&gt;"",ROW(AE7:AE48)-MIN(ROW(AE7:AE48))+1))),ROW()-ROW(A$51)+1)),"|",TEXT(INDEX(AE7:AE48,SMALL(IF(ISNUMBER(AE7:AE48),IF(AE7:AE48&gt;0,IF(AH7:AH48&lt;&gt;"",ROW(AE7:AE48)-MIN(ROW(AE7:AE48))+1))),ROW()-ROW(A$51)+1)),"##0"),"|",SUBSTITUTE(SUBSTITUTE(INDEX(IF(PURCHASE_DESCRIPTION&lt;&gt;"",PURCHASE_DESCRIPTION&amp;":","")&amp;A7:A48,SMALL(IF(ISNUMBER(AE7:AE48),IF(AE7:AE48&gt;0,IF(AH7:AH48&lt;&gt;"",ROW(AE7:AE48)-MIN(ROW(AE7:AE48))+1))),ROW()-ROW(A$51)+1)),"|",";")," ","_")),"")</f>
        <v>0</v>
      </c>
      <c r="AJ87">
        <f t="array" ref="AJ87">IFERROR(CONCATENATE(INDEX(AM7:AM48,SMALL(IF(ISNUMBER(AJ7:AJ48),IF(AJ7:AJ48&gt;0,IF(AM7:AM48&lt;&gt;"",ROW(AJ7:AJ48)-MIN(ROW(AJ7:AJ48))+1))),ROW()-ROW(A$51)+1)),",",TEXT(INDEX(AJ7:AJ48,SMALL(IF(ISNUMBER(AJ7:AJ48),IF(AJ7:AJ48&gt;0,IF(AM7:AM48&lt;&gt;"",ROW(AJ7:AJ48)-MIN(ROW(AJ7:AJ48))+1))),ROW()-ROW(A$51)+1)),"##0"),",",SUBSTITUTE(INDEX(IF(PURCHASE_DESCRIPTION&lt;&gt;"",PURCHASE_DESCRIPTION&amp;":","")&amp;A7:A48,SMALL(IF(ISNUMBER(AJ7:AJ48),IF(AJ7:AJ48&gt;0,IF(AM7:AM48&lt;&gt;"",ROW(AJ7:AJ48)-MIN(ROW(AJ7:AJ48))+1))),ROW()-ROW(A$51)+1)),",",";")),"")</f>
        <v>0</v>
      </c>
      <c r="AO87">
        <f t="array" ref="AO87">IFERROR(CONCATENATE(INDEX(AR7:AR48,SMALL(IF(ISNUMBER(AO7:AO48),IF(AO7:AO48&gt;0,IF(AR7:AR48&lt;&gt;"",ROW(AO7:AO48)-MIN(ROW(AO7:AO48))+1))),ROW()-ROW(A$51)+1))," ",TEXT(INDEX(AO7:AO48,SMALL(IF(ISNUMBER(AO7:AO48),IF(AO7:AO48&gt;0,IF(AR7:AR48&lt;&gt;"",ROW(AO7:AO48)-MIN(ROW(AO7:AO48))+1))),ROW()-ROW(A$51)+1)),"##0")," ",SUBSTITUTE(INDEX(IF(PURCHASE_DESCRIPTION&lt;&gt;"",PURCHASE_DESCRIPTION&amp;":","")&amp;A7:A48,SMALL(IF(ISNUMBER(AO7:AO48),IF(AO7:AO48&gt;0,IF(AR7:AR48&lt;&gt;"",ROW(AO7:AO48)-MIN(ROW(AO7:AO48))+1))),ROW()-ROW(A$51)+1))," ",";")),"")</f>
        <v>0</v>
      </c>
      <c r="AT87">
        <f t="array" ref="AT87">IFERROR(CONCATENATE(INDEX(AW7:AW48,SMALL(IF(ISNUMBER(AT7:AT48),IF(AT7:AT48&gt;0,IF(AW7:AW48&lt;&gt;"",ROW(AT7:AT48)-MIN(ROW(AT7:AT48))+1))),ROW()-ROW(A$51)+1))," ",TEXT(INDEX(AT7:AT48,SMALL(IF(ISNUMBER(AT7:AT48),IF(AT7:AT48&gt;0,IF(AW7:AW48&lt;&gt;"",ROW(AT7:AT48)-MIN(ROW(AT7:AT48))+1))),ROW()-ROW(A$51)+1)),"##0")," ",SUBSTITUTE(INDEX(IF(PURCHASE_DESCRIPTION&lt;&gt;"",PURCHASE_DESCRIPTION&amp;":","")&amp;A7:A48,SMALL(IF(ISNUMBER(AT7:AT48),IF(AT7:AT48&gt;0,IF(AW7:AW48&lt;&gt;"",ROW(AT7:AT48)-MIN(ROW(AT7:AT48))+1))),ROW()-ROW(A$51)+1))," ",";")),"")</f>
        <v>0</v>
      </c>
    </row>
    <row r="88" spans="11:46">
      <c r="K88">
        <f t="array" ref="K88">IFERROR(CONCATENATE(INDEX(N7:N48,SMALL(IF(ISNUMBER(K7:K48),IF(K7:K48&gt;0,IF(N7:N48&lt;&gt;"",ROW(K7:K48)-MIN(ROW(K7:K48))+1))),ROW()-ROW(A$51)+1)),",",TEXT(INDEX(K7:K48,SMALL(IF(ISNUMBER(K7:K48),IF(K7:K48&gt;0,IF(N7:N48&lt;&gt;"",ROW(K7:K48)-MIN(ROW(K7:K48))+1))),ROW()-ROW(A$51)+1)),"##0"),",",SUBSTITUTE(INDEX(IF(PURCHASE_DESCRIPTION&lt;&gt;"",PURCHASE_DESCRIPTION&amp;":","")&amp;A7:A48,SMALL(IF(ISNUMBER(K7:K48),IF(K7:K48&gt;0,IF(N7:N48&lt;&gt;"",ROW(K7:K48)-MIN(ROW(K7:K48))+1))),ROW()-ROW(A$51)+1)),",",";")),"")</f>
        <v>0</v>
      </c>
      <c r="P88">
        <f t="array" ref="P88">IFERROR(CONCATENATE(TEXT(INDEX(P7:P48,SMALL(IF(ISNUMBER(P7:P48),IF(P7:P48&gt;0,IF(S7:S48&lt;&gt;"",ROW(P7:P48)-MIN(ROW(P7:P48))+1))),ROW()-ROW(A$51)+1)),"##0"),",",INDEX(S7:S48,SMALL(IF(ISNUMBER(P7:P48),IF(P7:P48&gt;0,IF(S7:S48&lt;&gt;"",ROW(P7:P48)-MIN(ROW(P7:P48))+1))),ROW()-ROW(A$51)+1)),",",SUBSTITUTE(INDEX(IF(PURCHASE_DESCRIPTION&lt;&gt;"",PURCHASE_DESCRIPTION&amp;":","")&amp;A7:A48,SMALL(IF(ISNUMBER(P7:P48),IF(P7:P48&gt;0,IF(S7:S48&lt;&gt;"",ROW(P7:P48)-MIN(ROW(P7:P48))+1))),ROW()-ROW(A$51)+1)),",",";")),"")</f>
        <v>0</v>
      </c>
      <c r="U88">
        <f t="array" ref="U88">IFERROR(CONCATENATE(INDEX(X7:X48,SMALL(IF(ISNUMBER(U7:U48),IF(U7:U48&gt;0,IF(X7:X48&lt;&gt;"",ROW(U7:U48)-MIN(ROW(U7:U48))+1))),ROW()-ROW(A$51)+1))," ",TEXT(INDEX(U7:U48,SMALL(IF(ISNUMBER(U7:U48),IF(U7:U48&gt;0,IF(X7:X48&lt;&gt;"",ROW(U7:U48)-MIN(ROW(U7:U48))+1))),ROW()-ROW(A$51)+1)),"##0")," ",SUBSTITUTE(INDEX(IF(PURCHASE_DESCRIPTION&lt;&gt;"",PURCHASE_DESCRIPTION&amp;":","")&amp;A7:A48,SMALL(IF(ISNUMBER(U7:U48),IF(U7:U48&gt;0,IF(X7:X48&lt;&gt;"",ROW(U7:U48)-MIN(ROW(U7:U48))+1))),ROW()-ROW(A$51)+1))," ",";")),"")</f>
        <v>0</v>
      </c>
      <c r="Z88">
        <f t="array" ref="Z88">IFERROR(CONCATENATE(TEXT(INDEX(Z7:Z48,SMALL(IF(ISNUMBER(Z7:Z48),IF(Z7:Z48&gt;0,IF(AC7:AC48&lt;&gt;"",ROW(Z7:Z48)-MIN(ROW(Z7:Z48))+1))),ROW()-ROW(A$52)+1)),"##0"),",",SUBSTITUTE(INDEX(IF(PURCHASE_DESCRIPTION&lt;&gt;"",PURCHASE_DESCRIPTION&amp;":","")&amp;A7:A48,SMALL(IF(ISNUMBER(Z7:Z48),IF(Z7:Z48&gt;0,IF(AC7:AC48&lt;&gt;"",ROW(Z7:Z48)-MIN(ROW(Z7:Z48))+1))),ROW()-ROW(A$52)+1)),",",";"),",",SUBSTITUTE(INDEX(IF(PURCHASE_DESCRIPTION&lt;&gt;"",PURCHASE_DESCRIPTION&amp;":","")&amp;D7:D48,SMALL(IF(ISNUMBER(Z7:Z48),IF(Z7:Z48&gt;0,IF(AC7:AC48&lt;&gt;"",ROW(Z7:Z48)-MIN(ROW(Z7:Z48))+1))),ROW()-ROW(A$52)+1)),",",";"),",",INDEX(AC7:AC48,SMALL(IF(ISNUMBER(Z7:Z48),IF(Z7:Z48&gt;0,IF(AC7:AC48&lt;&gt;"",ROW(Z7:Z48)-MIN(ROW(Z7:Z48))+1))),ROW()-ROW(A$52)+1))),"")</f>
        <v>0</v>
      </c>
      <c r="AE88">
        <f t="array" ref="AE88">IFERROR(CONCATENATE(INDEX(AH7:AH48,SMALL(IF(ISNUMBER(AE7:AE48),IF(AE7:AE48&gt;0,IF(AH7:AH48&lt;&gt;"",ROW(AE7:AE48)-MIN(ROW(AE7:AE48))+1))),ROW()-ROW(A$51)+1)),"|",TEXT(INDEX(AE7:AE48,SMALL(IF(ISNUMBER(AE7:AE48),IF(AE7:AE48&gt;0,IF(AH7:AH48&lt;&gt;"",ROW(AE7:AE48)-MIN(ROW(AE7:AE48))+1))),ROW()-ROW(A$51)+1)),"##0"),"|",SUBSTITUTE(SUBSTITUTE(INDEX(IF(PURCHASE_DESCRIPTION&lt;&gt;"",PURCHASE_DESCRIPTION&amp;":","")&amp;A7:A48,SMALL(IF(ISNUMBER(AE7:AE48),IF(AE7:AE48&gt;0,IF(AH7:AH48&lt;&gt;"",ROW(AE7:AE48)-MIN(ROW(AE7:AE48))+1))),ROW()-ROW(A$51)+1)),"|",";")," ","_")),"")</f>
        <v>0</v>
      </c>
      <c r="AJ88">
        <f t="array" ref="AJ88">IFERROR(CONCATENATE(INDEX(AM7:AM48,SMALL(IF(ISNUMBER(AJ7:AJ48),IF(AJ7:AJ48&gt;0,IF(AM7:AM48&lt;&gt;"",ROW(AJ7:AJ48)-MIN(ROW(AJ7:AJ48))+1))),ROW()-ROW(A$51)+1)),",",TEXT(INDEX(AJ7:AJ48,SMALL(IF(ISNUMBER(AJ7:AJ48),IF(AJ7:AJ48&gt;0,IF(AM7:AM48&lt;&gt;"",ROW(AJ7:AJ48)-MIN(ROW(AJ7:AJ48))+1))),ROW()-ROW(A$51)+1)),"##0"),",",SUBSTITUTE(INDEX(IF(PURCHASE_DESCRIPTION&lt;&gt;"",PURCHASE_DESCRIPTION&amp;":","")&amp;A7:A48,SMALL(IF(ISNUMBER(AJ7:AJ48),IF(AJ7:AJ48&gt;0,IF(AM7:AM48&lt;&gt;"",ROW(AJ7:AJ48)-MIN(ROW(AJ7:AJ48))+1))),ROW()-ROW(A$51)+1)),",",";")),"")</f>
        <v>0</v>
      </c>
      <c r="AO88">
        <f t="array" ref="AO88">IFERROR(CONCATENATE(INDEX(AR7:AR48,SMALL(IF(ISNUMBER(AO7:AO48),IF(AO7:AO48&gt;0,IF(AR7:AR48&lt;&gt;"",ROW(AO7:AO48)-MIN(ROW(AO7:AO48))+1))),ROW()-ROW(A$51)+1))," ",TEXT(INDEX(AO7:AO48,SMALL(IF(ISNUMBER(AO7:AO48),IF(AO7:AO48&gt;0,IF(AR7:AR48&lt;&gt;"",ROW(AO7:AO48)-MIN(ROW(AO7:AO48))+1))),ROW()-ROW(A$51)+1)),"##0")," ",SUBSTITUTE(INDEX(IF(PURCHASE_DESCRIPTION&lt;&gt;"",PURCHASE_DESCRIPTION&amp;":","")&amp;A7:A48,SMALL(IF(ISNUMBER(AO7:AO48),IF(AO7:AO48&gt;0,IF(AR7:AR48&lt;&gt;"",ROW(AO7:AO48)-MIN(ROW(AO7:AO48))+1))),ROW()-ROW(A$51)+1))," ",";")),"")</f>
        <v>0</v>
      </c>
      <c r="AT88">
        <f t="array" ref="AT88">IFERROR(CONCATENATE(INDEX(AW7:AW48,SMALL(IF(ISNUMBER(AT7:AT48),IF(AT7:AT48&gt;0,IF(AW7:AW48&lt;&gt;"",ROW(AT7:AT48)-MIN(ROW(AT7:AT48))+1))),ROW()-ROW(A$51)+1))," ",TEXT(INDEX(AT7:AT48,SMALL(IF(ISNUMBER(AT7:AT48),IF(AT7:AT48&gt;0,IF(AW7:AW48&lt;&gt;"",ROW(AT7:AT48)-MIN(ROW(AT7:AT48))+1))),ROW()-ROW(A$51)+1)),"##0")," ",SUBSTITUTE(INDEX(IF(PURCHASE_DESCRIPTION&lt;&gt;"",PURCHASE_DESCRIPTION&amp;":","")&amp;A7:A48,SMALL(IF(ISNUMBER(AT7:AT48),IF(AT7:AT48&gt;0,IF(AW7:AW48&lt;&gt;"",ROW(AT7:AT48)-MIN(ROW(AT7:AT48))+1))),ROW()-ROW(A$51)+1))," ",";")),"")</f>
        <v>0</v>
      </c>
    </row>
    <row r="89" spans="11:46">
      <c r="K89">
        <f t="array" ref="K89">IFERROR(CONCATENATE(INDEX(N7:N48,SMALL(IF(ISNUMBER(K7:K48),IF(K7:K48&gt;0,IF(N7:N48&lt;&gt;"",ROW(K7:K48)-MIN(ROW(K7:K48))+1))),ROW()-ROW(A$51)+1)),",",TEXT(INDEX(K7:K48,SMALL(IF(ISNUMBER(K7:K48),IF(K7:K48&gt;0,IF(N7:N48&lt;&gt;"",ROW(K7:K48)-MIN(ROW(K7:K48))+1))),ROW()-ROW(A$51)+1)),"##0"),",",SUBSTITUTE(INDEX(IF(PURCHASE_DESCRIPTION&lt;&gt;"",PURCHASE_DESCRIPTION&amp;":","")&amp;A7:A48,SMALL(IF(ISNUMBER(K7:K48),IF(K7:K48&gt;0,IF(N7:N48&lt;&gt;"",ROW(K7:K48)-MIN(ROW(K7:K48))+1))),ROW()-ROW(A$51)+1)),",",";")),"")</f>
        <v>0</v>
      </c>
      <c r="P89">
        <f t="array" ref="P89">IFERROR(CONCATENATE(TEXT(INDEX(P7:P48,SMALL(IF(ISNUMBER(P7:P48),IF(P7:P48&gt;0,IF(S7:S48&lt;&gt;"",ROW(P7:P48)-MIN(ROW(P7:P48))+1))),ROW()-ROW(A$51)+1)),"##0"),",",INDEX(S7:S48,SMALL(IF(ISNUMBER(P7:P48),IF(P7:P48&gt;0,IF(S7:S48&lt;&gt;"",ROW(P7:P48)-MIN(ROW(P7:P48))+1))),ROW()-ROW(A$51)+1)),",",SUBSTITUTE(INDEX(IF(PURCHASE_DESCRIPTION&lt;&gt;"",PURCHASE_DESCRIPTION&amp;":","")&amp;A7:A48,SMALL(IF(ISNUMBER(P7:P48),IF(P7:P48&gt;0,IF(S7:S48&lt;&gt;"",ROW(P7:P48)-MIN(ROW(P7:P48))+1))),ROW()-ROW(A$51)+1)),",",";")),"")</f>
        <v>0</v>
      </c>
      <c r="U89">
        <f t="array" ref="U89">IFERROR(CONCATENATE(INDEX(X7:X48,SMALL(IF(ISNUMBER(U7:U48),IF(U7:U48&gt;0,IF(X7:X48&lt;&gt;"",ROW(U7:U48)-MIN(ROW(U7:U48))+1))),ROW()-ROW(A$51)+1))," ",TEXT(INDEX(U7:U48,SMALL(IF(ISNUMBER(U7:U48),IF(U7:U48&gt;0,IF(X7:X48&lt;&gt;"",ROW(U7:U48)-MIN(ROW(U7:U48))+1))),ROW()-ROW(A$51)+1)),"##0")," ",SUBSTITUTE(INDEX(IF(PURCHASE_DESCRIPTION&lt;&gt;"",PURCHASE_DESCRIPTION&amp;":","")&amp;A7:A48,SMALL(IF(ISNUMBER(U7:U48),IF(U7:U48&gt;0,IF(X7:X48&lt;&gt;"",ROW(U7:U48)-MIN(ROW(U7:U48))+1))),ROW()-ROW(A$51)+1))," ",";")),"")</f>
        <v>0</v>
      </c>
      <c r="Z89">
        <f t="array" ref="Z89">IFERROR(CONCATENATE(TEXT(INDEX(Z7:Z48,SMALL(IF(ISNUMBER(Z7:Z48),IF(Z7:Z48&gt;0,IF(AC7:AC48&lt;&gt;"",ROW(Z7:Z48)-MIN(ROW(Z7:Z48))+1))),ROW()-ROW(A$52)+1)),"##0"),",",SUBSTITUTE(INDEX(IF(PURCHASE_DESCRIPTION&lt;&gt;"",PURCHASE_DESCRIPTION&amp;":","")&amp;A7:A48,SMALL(IF(ISNUMBER(Z7:Z48),IF(Z7:Z48&gt;0,IF(AC7:AC48&lt;&gt;"",ROW(Z7:Z48)-MIN(ROW(Z7:Z48))+1))),ROW()-ROW(A$52)+1)),",",";"),",",SUBSTITUTE(INDEX(IF(PURCHASE_DESCRIPTION&lt;&gt;"",PURCHASE_DESCRIPTION&amp;":","")&amp;D7:D48,SMALL(IF(ISNUMBER(Z7:Z48),IF(Z7:Z48&gt;0,IF(AC7:AC48&lt;&gt;"",ROW(Z7:Z48)-MIN(ROW(Z7:Z48))+1))),ROW()-ROW(A$52)+1)),",",";"),",",INDEX(AC7:AC48,SMALL(IF(ISNUMBER(Z7:Z48),IF(Z7:Z48&gt;0,IF(AC7:AC48&lt;&gt;"",ROW(Z7:Z48)-MIN(ROW(Z7:Z48))+1))),ROW()-ROW(A$52)+1))),"")</f>
        <v>0</v>
      </c>
      <c r="AE89">
        <f t="array" ref="AE89">IFERROR(CONCATENATE(INDEX(AH7:AH48,SMALL(IF(ISNUMBER(AE7:AE48),IF(AE7:AE48&gt;0,IF(AH7:AH48&lt;&gt;"",ROW(AE7:AE48)-MIN(ROW(AE7:AE48))+1))),ROW()-ROW(A$51)+1)),"|",TEXT(INDEX(AE7:AE48,SMALL(IF(ISNUMBER(AE7:AE48),IF(AE7:AE48&gt;0,IF(AH7:AH48&lt;&gt;"",ROW(AE7:AE48)-MIN(ROW(AE7:AE48))+1))),ROW()-ROW(A$51)+1)),"##0"),"|",SUBSTITUTE(SUBSTITUTE(INDEX(IF(PURCHASE_DESCRIPTION&lt;&gt;"",PURCHASE_DESCRIPTION&amp;":","")&amp;A7:A48,SMALL(IF(ISNUMBER(AE7:AE48),IF(AE7:AE48&gt;0,IF(AH7:AH48&lt;&gt;"",ROW(AE7:AE48)-MIN(ROW(AE7:AE48))+1))),ROW()-ROW(A$51)+1)),"|",";")," ","_")),"")</f>
        <v>0</v>
      </c>
      <c r="AJ89">
        <f t="array" ref="AJ89">IFERROR(CONCATENATE(INDEX(AM7:AM48,SMALL(IF(ISNUMBER(AJ7:AJ48),IF(AJ7:AJ48&gt;0,IF(AM7:AM48&lt;&gt;"",ROW(AJ7:AJ48)-MIN(ROW(AJ7:AJ48))+1))),ROW()-ROW(A$51)+1)),",",TEXT(INDEX(AJ7:AJ48,SMALL(IF(ISNUMBER(AJ7:AJ48),IF(AJ7:AJ48&gt;0,IF(AM7:AM48&lt;&gt;"",ROW(AJ7:AJ48)-MIN(ROW(AJ7:AJ48))+1))),ROW()-ROW(A$51)+1)),"##0"),",",SUBSTITUTE(INDEX(IF(PURCHASE_DESCRIPTION&lt;&gt;"",PURCHASE_DESCRIPTION&amp;":","")&amp;A7:A48,SMALL(IF(ISNUMBER(AJ7:AJ48),IF(AJ7:AJ48&gt;0,IF(AM7:AM48&lt;&gt;"",ROW(AJ7:AJ48)-MIN(ROW(AJ7:AJ48))+1))),ROW()-ROW(A$51)+1)),",",";")),"")</f>
        <v>0</v>
      </c>
      <c r="AO89">
        <f t="array" ref="AO89">IFERROR(CONCATENATE(INDEX(AR7:AR48,SMALL(IF(ISNUMBER(AO7:AO48),IF(AO7:AO48&gt;0,IF(AR7:AR48&lt;&gt;"",ROW(AO7:AO48)-MIN(ROW(AO7:AO48))+1))),ROW()-ROW(A$51)+1))," ",TEXT(INDEX(AO7:AO48,SMALL(IF(ISNUMBER(AO7:AO48),IF(AO7:AO48&gt;0,IF(AR7:AR48&lt;&gt;"",ROW(AO7:AO48)-MIN(ROW(AO7:AO48))+1))),ROW()-ROW(A$51)+1)),"##0")," ",SUBSTITUTE(INDEX(IF(PURCHASE_DESCRIPTION&lt;&gt;"",PURCHASE_DESCRIPTION&amp;":","")&amp;A7:A48,SMALL(IF(ISNUMBER(AO7:AO48),IF(AO7:AO48&gt;0,IF(AR7:AR48&lt;&gt;"",ROW(AO7:AO48)-MIN(ROW(AO7:AO48))+1))),ROW()-ROW(A$51)+1))," ",";")),"")</f>
        <v>0</v>
      </c>
      <c r="AT89">
        <f t="array" ref="AT89">IFERROR(CONCATENATE(INDEX(AW7:AW48,SMALL(IF(ISNUMBER(AT7:AT48),IF(AT7:AT48&gt;0,IF(AW7:AW48&lt;&gt;"",ROW(AT7:AT48)-MIN(ROW(AT7:AT48))+1))),ROW()-ROW(A$51)+1))," ",TEXT(INDEX(AT7:AT48,SMALL(IF(ISNUMBER(AT7:AT48),IF(AT7:AT48&gt;0,IF(AW7:AW48&lt;&gt;"",ROW(AT7:AT48)-MIN(ROW(AT7:AT48))+1))),ROW()-ROW(A$51)+1)),"##0")," ",SUBSTITUTE(INDEX(IF(PURCHASE_DESCRIPTION&lt;&gt;"",PURCHASE_DESCRIPTION&amp;":","")&amp;A7:A48,SMALL(IF(ISNUMBER(AT7:AT48),IF(AT7:AT48&gt;0,IF(AW7:AW48&lt;&gt;"",ROW(AT7:AT48)-MIN(ROW(AT7:AT48))+1))),ROW()-ROW(A$51)+1))," ",";")),"")</f>
        <v>0</v>
      </c>
    </row>
    <row r="90" spans="11:46">
      <c r="K90">
        <f t="array" ref="K90">IFERROR(CONCATENATE(INDEX(N7:N48,SMALL(IF(ISNUMBER(K7:K48),IF(K7:K48&gt;0,IF(N7:N48&lt;&gt;"",ROW(K7:K48)-MIN(ROW(K7:K48))+1))),ROW()-ROW(A$51)+1)),",",TEXT(INDEX(K7:K48,SMALL(IF(ISNUMBER(K7:K48),IF(K7:K48&gt;0,IF(N7:N48&lt;&gt;"",ROW(K7:K48)-MIN(ROW(K7:K48))+1))),ROW()-ROW(A$51)+1)),"##0"),",",SUBSTITUTE(INDEX(IF(PURCHASE_DESCRIPTION&lt;&gt;"",PURCHASE_DESCRIPTION&amp;":","")&amp;A7:A48,SMALL(IF(ISNUMBER(K7:K48),IF(K7:K48&gt;0,IF(N7:N48&lt;&gt;"",ROW(K7:K48)-MIN(ROW(K7:K48))+1))),ROW()-ROW(A$51)+1)),",",";")),"")</f>
        <v>0</v>
      </c>
      <c r="P90">
        <f t="array" ref="P90">IFERROR(CONCATENATE(TEXT(INDEX(P7:P48,SMALL(IF(ISNUMBER(P7:P48),IF(P7:P48&gt;0,IF(S7:S48&lt;&gt;"",ROW(P7:P48)-MIN(ROW(P7:P48))+1))),ROW()-ROW(A$51)+1)),"##0"),",",INDEX(S7:S48,SMALL(IF(ISNUMBER(P7:P48),IF(P7:P48&gt;0,IF(S7:S48&lt;&gt;"",ROW(P7:P48)-MIN(ROW(P7:P48))+1))),ROW()-ROW(A$51)+1)),",",SUBSTITUTE(INDEX(IF(PURCHASE_DESCRIPTION&lt;&gt;"",PURCHASE_DESCRIPTION&amp;":","")&amp;A7:A48,SMALL(IF(ISNUMBER(P7:P48),IF(P7:P48&gt;0,IF(S7:S48&lt;&gt;"",ROW(P7:P48)-MIN(ROW(P7:P48))+1))),ROW()-ROW(A$51)+1)),",",";")),"")</f>
        <v>0</v>
      </c>
      <c r="U90">
        <f t="array" ref="U90">IFERROR(CONCATENATE(INDEX(X7:X48,SMALL(IF(ISNUMBER(U7:U48),IF(U7:U48&gt;0,IF(X7:X48&lt;&gt;"",ROW(U7:U48)-MIN(ROW(U7:U48))+1))),ROW()-ROW(A$51)+1))," ",TEXT(INDEX(U7:U48,SMALL(IF(ISNUMBER(U7:U48),IF(U7:U48&gt;0,IF(X7:X48&lt;&gt;"",ROW(U7:U48)-MIN(ROW(U7:U48))+1))),ROW()-ROW(A$51)+1)),"##0")," ",SUBSTITUTE(INDEX(IF(PURCHASE_DESCRIPTION&lt;&gt;"",PURCHASE_DESCRIPTION&amp;":","")&amp;A7:A48,SMALL(IF(ISNUMBER(U7:U48),IF(U7:U48&gt;0,IF(X7:X48&lt;&gt;"",ROW(U7:U48)-MIN(ROW(U7:U48))+1))),ROW()-ROW(A$51)+1))," ",";")),"")</f>
        <v>0</v>
      </c>
      <c r="Z90">
        <f t="array" ref="Z90">IFERROR(CONCATENATE(TEXT(INDEX(Z7:Z48,SMALL(IF(ISNUMBER(Z7:Z48),IF(Z7:Z48&gt;0,IF(AC7:AC48&lt;&gt;"",ROW(Z7:Z48)-MIN(ROW(Z7:Z48))+1))),ROW()-ROW(A$52)+1)),"##0"),",",SUBSTITUTE(INDEX(IF(PURCHASE_DESCRIPTION&lt;&gt;"",PURCHASE_DESCRIPTION&amp;":","")&amp;A7:A48,SMALL(IF(ISNUMBER(Z7:Z48),IF(Z7:Z48&gt;0,IF(AC7:AC48&lt;&gt;"",ROW(Z7:Z48)-MIN(ROW(Z7:Z48))+1))),ROW()-ROW(A$52)+1)),",",";"),",",SUBSTITUTE(INDEX(IF(PURCHASE_DESCRIPTION&lt;&gt;"",PURCHASE_DESCRIPTION&amp;":","")&amp;D7:D48,SMALL(IF(ISNUMBER(Z7:Z48),IF(Z7:Z48&gt;0,IF(AC7:AC48&lt;&gt;"",ROW(Z7:Z48)-MIN(ROW(Z7:Z48))+1))),ROW()-ROW(A$52)+1)),",",";"),",",INDEX(AC7:AC48,SMALL(IF(ISNUMBER(Z7:Z48),IF(Z7:Z48&gt;0,IF(AC7:AC48&lt;&gt;"",ROW(Z7:Z48)-MIN(ROW(Z7:Z48))+1))),ROW()-ROW(A$52)+1))),"")</f>
        <v>0</v>
      </c>
      <c r="AE90">
        <f t="array" ref="AE90">IFERROR(CONCATENATE(INDEX(AH7:AH48,SMALL(IF(ISNUMBER(AE7:AE48),IF(AE7:AE48&gt;0,IF(AH7:AH48&lt;&gt;"",ROW(AE7:AE48)-MIN(ROW(AE7:AE48))+1))),ROW()-ROW(A$51)+1)),"|",TEXT(INDEX(AE7:AE48,SMALL(IF(ISNUMBER(AE7:AE48),IF(AE7:AE48&gt;0,IF(AH7:AH48&lt;&gt;"",ROW(AE7:AE48)-MIN(ROW(AE7:AE48))+1))),ROW()-ROW(A$51)+1)),"##0"),"|",SUBSTITUTE(SUBSTITUTE(INDEX(IF(PURCHASE_DESCRIPTION&lt;&gt;"",PURCHASE_DESCRIPTION&amp;":","")&amp;A7:A48,SMALL(IF(ISNUMBER(AE7:AE48),IF(AE7:AE48&gt;0,IF(AH7:AH48&lt;&gt;"",ROW(AE7:AE48)-MIN(ROW(AE7:AE48))+1))),ROW()-ROW(A$51)+1)),"|",";")," ","_")),"")</f>
        <v>0</v>
      </c>
      <c r="AJ90">
        <f t="array" ref="AJ90">IFERROR(CONCATENATE(INDEX(AM7:AM48,SMALL(IF(ISNUMBER(AJ7:AJ48),IF(AJ7:AJ48&gt;0,IF(AM7:AM48&lt;&gt;"",ROW(AJ7:AJ48)-MIN(ROW(AJ7:AJ48))+1))),ROW()-ROW(A$51)+1)),",",TEXT(INDEX(AJ7:AJ48,SMALL(IF(ISNUMBER(AJ7:AJ48),IF(AJ7:AJ48&gt;0,IF(AM7:AM48&lt;&gt;"",ROW(AJ7:AJ48)-MIN(ROW(AJ7:AJ48))+1))),ROW()-ROW(A$51)+1)),"##0"),",",SUBSTITUTE(INDEX(IF(PURCHASE_DESCRIPTION&lt;&gt;"",PURCHASE_DESCRIPTION&amp;":","")&amp;A7:A48,SMALL(IF(ISNUMBER(AJ7:AJ48),IF(AJ7:AJ48&gt;0,IF(AM7:AM48&lt;&gt;"",ROW(AJ7:AJ48)-MIN(ROW(AJ7:AJ48))+1))),ROW()-ROW(A$51)+1)),",",";")),"")</f>
        <v>0</v>
      </c>
      <c r="AO90">
        <f t="array" ref="AO90">IFERROR(CONCATENATE(INDEX(AR7:AR48,SMALL(IF(ISNUMBER(AO7:AO48),IF(AO7:AO48&gt;0,IF(AR7:AR48&lt;&gt;"",ROW(AO7:AO48)-MIN(ROW(AO7:AO48))+1))),ROW()-ROW(A$51)+1))," ",TEXT(INDEX(AO7:AO48,SMALL(IF(ISNUMBER(AO7:AO48),IF(AO7:AO48&gt;0,IF(AR7:AR48&lt;&gt;"",ROW(AO7:AO48)-MIN(ROW(AO7:AO48))+1))),ROW()-ROW(A$51)+1)),"##0")," ",SUBSTITUTE(INDEX(IF(PURCHASE_DESCRIPTION&lt;&gt;"",PURCHASE_DESCRIPTION&amp;":","")&amp;A7:A48,SMALL(IF(ISNUMBER(AO7:AO48),IF(AO7:AO48&gt;0,IF(AR7:AR48&lt;&gt;"",ROW(AO7:AO48)-MIN(ROW(AO7:AO48))+1))),ROW()-ROW(A$51)+1))," ",";")),"")</f>
        <v>0</v>
      </c>
      <c r="AT90">
        <f t="array" ref="AT90">IFERROR(CONCATENATE(INDEX(AW7:AW48,SMALL(IF(ISNUMBER(AT7:AT48),IF(AT7:AT48&gt;0,IF(AW7:AW48&lt;&gt;"",ROW(AT7:AT48)-MIN(ROW(AT7:AT48))+1))),ROW()-ROW(A$51)+1))," ",TEXT(INDEX(AT7:AT48,SMALL(IF(ISNUMBER(AT7:AT48),IF(AT7:AT48&gt;0,IF(AW7:AW48&lt;&gt;"",ROW(AT7:AT48)-MIN(ROW(AT7:AT48))+1))),ROW()-ROW(A$51)+1)),"##0")," ",SUBSTITUTE(INDEX(IF(PURCHASE_DESCRIPTION&lt;&gt;"",PURCHASE_DESCRIPTION&amp;":","")&amp;A7:A48,SMALL(IF(ISNUMBER(AT7:AT48),IF(AT7:AT48&gt;0,IF(AW7:AW48&lt;&gt;"",ROW(AT7:AT48)-MIN(ROW(AT7:AT48))+1))),ROW()-ROW(A$51)+1))," ",";")),"")</f>
        <v>0</v>
      </c>
    </row>
    <row r="91" spans="11:46">
      <c r="K91">
        <f t="array" ref="K91">IFERROR(CONCATENATE(INDEX(N7:N48,SMALL(IF(ISNUMBER(K7:K48),IF(K7:K48&gt;0,IF(N7:N48&lt;&gt;"",ROW(K7:K48)-MIN(ROW(K7:K48))+1))),ROW()-ROW(A$51)+1)),",",TEXT(INDEX(K7:K48,SMALL(IF(ISNUMBER(K7:K48),IF(K7:K48&gt;0,IF(N7:N48&lt;&gt;"",ROW(K7:K48)-MIN(ROW(K7:K48))+1))),ROW()-ROW(A$51)+1)),"##0"),",",SUBSTITUTE(INDEX(IF(PURCHASE_DESCRIPTION&lt;&gt;"",PURCHASE_DESCRIPTION&amp;":","")&amp;A7:A48,SMALL(IF(ISNUMBER(K7:K48),IF(K7:K48&gt;0,IF(N7:N48&lt;&gt;"",ROW(K7:K48)-MIN(ROW(K7:K48))+1))),ROW()-ROW(A$51)+1)),",",";")),"")</f>
        <v>0</v>
      </c>
      <c r="P91">
        <f t="array" ref="P91">IFERROR(CONCATENATE(TEXT(INDEX(P7:P48,SMALL(IF(ISNUMBER(P7:P48),IF(P7:P48&gt;0,IF(S7:S48&lt;&gt;"",ROW(P7:P48)-MIN(ROW(P7:P48))+1))),ROW()-ROW(A$51)+1)),"##0"),",",INDEX(S7:S48,SMALL(IF(ISNUMBER(P7:P48),IF(P7:P48&gt;0,IF(S7:S48&lt;&gt;"",ROW(P7:P48)-MIN(ROW(P7:P48))+1))),ROW()-ROW(A$51)+1)),",",SUBSTITUTE(INDEX(IF(PURCHASE_DESCRIPTION&lt;&gt;"",PURCHASE_DESCRIPTION&amp;":","")&amp;A7:A48,SMALL(IF(ISNUMBER(P7:P48),IF(P7:P48&gt;0,IF(S7:S48&lt;&gt;"",ROW(P7:P48)-MIN(ROW(P7:P48))+1))),ROW()-ROW(A$51)+1)),",",";")),"")</f>
        <v>0</v>
      </c>
      <c r="U91">
        <f t="array" ref="U91">IFERROR(CONCATENATE(INDEX(X7:X48,SMALL(IF(ISNUMBER(U7:U48),IF(U7:U48&gt;0,IF(X7:X48&lt;&gt;"",ROW(U7:U48)-MIN(ROW(U7:U48))+1))),ROW()-ROW(A$51)+1))," ",TEXT(INDEX(U7:U48,SMALL(IF(ISNUMBER(U7:U48),IF(U7:U48&gt;0,IF(X7:X48&lt;&gt;"",ROW(U7:U48)-MIN(ROW(U7:U48))+1))),ROW()-ROW(A$51)+1)),"##0")," ",SUBSTITUTE(INDEX(IF(PURCHASE_DESCRIPTION&lt;&gt;"",PURCHASE_DESCRIPTION&amp;":","")&amp;A7:A48,SMALL(IF(ISNUMBER(U7:U48),IF(U7:U48&gt;0,IF(X7:X48&lt;&gt;"",ROW(U7:U48)-MIN(ROW(U7:U48))+1))),ROW()-ROW(A$51)+1))," ",";")),"")</f>
        <v>0</v>
      </c>
      <c r="Z91">
        <f t="array" ref="Z91">IFERROR(CONCATENATE(TEXT(INDEX(Z7:Z48,SMALL(IF(ISNUMBER(Z7:Z48),IF(Z7:Z48&gt;0,IF(AC7:AC48&lt;&gt;"",ROW(Z7:Z48)-MIN(ROW(Z7:Z48))+1))),ROW()-ROW(A$52)+1)),"##0"),",",SUBSTITUTE(INDEX(IF(PURCHASE_DESCRIPTION&lt;&gt;"",PURCHASE_DESCRIPTION&amp;":","")&amp;A7:A48,SMALL(IF(ISNUMBER(Z7:Z48),IF(Z7:Z48&gt;0,IF(AC7:AC48&lt;&gt;"",ROW(Z7:Z48)-MIN(ROW(Z7:Z48))+1))),ROW()-ROW(A$52)+1)),",",";"),",",SUBSTITUTE(INDEX(IF(PURCHASE_DESCRIPTION&lt;&gt;"",PURCHASE_DESCRIPTION&amp;":","")&amp;D7:D48,SMALL(IF(ISNUMBER(Z7:Z48),IF(Z7:Z48&gt;0,IF(AC7:AC48&lt;&gt;"",ROW(Z7:Z48)-MIN(ROW(Z7:Z48))+1))),ROW()-ROW(A$52)+1)),",",";"),",",INDEX(AC7:AC48,SMALL(IF(ISNUMBER(Z7:Z48),IF(Z7:Z48&gt;0,IF(AC7:AC48&lt;&gt;"",ROW(Z7:Z48)-MIN(ROW(Z7:Z48))+1))),ROW()-ROW(A$52)+1))),"")</f>
        <v>0</v>
      </c>
      <c r="AE91">
        <f t="array" ref="AE91">IFERROR(CONCATENATE(INDEX(AH7:AH48,SMALL(IF(ISNUMBER(AE7:AE48),IF(AE7:AE48&gt;0,IF(AH7:AH48&lt;&gt;"",ROW(AE7:AE48)-MIN(ROW(AE7:AE48))+1))),ROW()-ROW(A$51)+1)),"|",TEXT(INDEX(AE7:AE48,SMALL(IF(ISNUMBER(AE7:AE48),IF(AE7:AE48&gt;0,IF(AH7:AH48&lt;&gt;"",ROW(AE7:AE48)-MIN(ROW(AE7:AE48))+1))),ROW()-ROW(A$51)+1)),"##0"),"|",SUBSTITUTE(SUBSTITUTE(INDEX(IF(PURCHASE_DESCRIPTION&lt;&gt;"",PURCHASE_DESCRIPTION&amp;":","")&amp;A7:A48,SMALL(IF(ISNUMBER(AE7:AE48),IF(AE7:AE48&gt;0,IF(AH7:AH48&lt;&gt;"",ROW(AE7:AE48)-MIN(ROW(AE7:AE48))+1))),ROW()-ROW(A$51)+1)),"|",";")," ","_")),"")</f>
        <v>0</v>
      </c>
      <c r="AJ91">
        <f t="array" ref="AJ91">IFERROR(CONCATENATE(INDEX(AM7:AM48,SMALL(IF(ISNUMBER(AJ7:AJ48),IF(AJ7:AJ48&gt;0,IF(AM7:AM48&lt;&gt;"",ROW(AJ7:AJ48)-MIN(ROW(AJ7:AJ48))+1))),ROW()-ROW(A$51)+1)),",",TEXT(INDEX(AJ7:AJ48,SMALL(IF(ISNUMBER(AJ7:AJ48),IF(AJ7:AJ48&gt;0,IF(AM7:AM48&lt;&gt;"",ROW(AJ7:AJ48)-MIN(ROW(AJ7:AJ48))+1))),ROW()-ROW(A$51)+1)),"##0"),",",SUBSTITUTE(INDEX(IF(PURCHASE_DESCRIPTION&lt;&gt;"",PURCHASE_DESCRIPTION&amp;":","")&amp;A7:A48,SMALL(IF(ISNUMBER(AJ7:AJ48),IF(AJ7:AJ48&gt;0,IF(AM7:AM48&lt;&gt;"",ROW(AJ7:AJ48)-MIN(ROW(AJ7:AJ48))+1))),ROW()-ROW(A$51)+1)),",",";")),"")</f>
        <v>0</v>
      </c>
      <c r="AO91">
        <f t="array" ref="AO91">IFERROR(CONCATENATE(INDEX(AR7:AR48,SMALL(IF(ISNUMBER(AO7:AO48),IF(AO7:AO48&gt;0,IF(AR7:AR48&lt;&gt;"",ROW(AO7:AO48)-MIN(ROW(AO7:AO48))+1))),ROW()-ROW(A$51)+1))," ",TEXT(INDEX(AO7:AO48,SMALL(IF(ISNUMBER(AO7:AO48),IF(AO7:AO48&gt;0,IF(AR7:AR48&lt;&gt;"",ROW(AO7:AO48)-MIN(ROW(AO7:AO48))+1))),ROW()-ROW(A$51)+1)),"##0")," ",SUBSTITUTE(INDEX(IF(PURCHASE_DESCRIPTION&lt;&gt;"",PURCHASE_DESCRIPTION&amp;":","")&amp;A7:A48,SMALL(IF(ISNUMBER(AO7:AO48),IF(AO7:AO48&gt;0,IF(AR7:AR48&lt;&gt;"",ROW(AO7:AO48)-MIN(ROW(AO7:AO48))+1))),ROW()-ROW(A$51)+1))," ",";")),"")</f>
        <v>0</v>
      </c>
      <c r="AT91">
        <f t="array" ref="AT91">IFERROR(CONCATENATE(INDEX(AW7:AW48,SMALL(IF(ISNUMBER(AT7:AT48),IF(AT7:AT48&gt;0,IF(AW7:AW48&lt;&gt;"",ROW(AT7:AT48)-MIN(ROW(AT7:AT48))+1))),ROW()-ROW(A$51)+1))," ",TEXT(INDEX(AT7:AT48,SMALL(IF(ISNUMBER(AT7:AT48),IF(AT7:AT48&gt;0,IF(AW7:AW48&lt;&gt;"",ROW(AT7:AT48)-MIN(ROW(AT7:AT48))+1))),ROW()-ROW(A$51)+1)),"##0")," ",SUBSTITUTE(INDEX(IF(PURCHASE_DESCRIPTION&lt;&gt;"",PURCHASE_DESCRIPTION&amp;":","")&amp;A7:A48,SMALL(IF(ISNUMBER(AT7:AT48),IF(AT7:AT48&gt;0,IF(AW7:AW48&lt;&gt;"",ROW(AT7:AT48)-MIN(ROW(AT7:AT48))+1))),ROW()-ROW(A$51)+1))," ",";")),"")</f>
        <v>0</v>
      </c>
    </row>
    <row r="92" spans="11:46">
      <c r="K92">
        <f t="array" ref="K92">IFERROR(CONCATENATE(INDEX(N7:N48,SMALL(IF(ISNUMBER(K7:K48),IF(K7:K48&gt;0,IF(N7:N48&lt;&gt;"",ROW(K7:K48)-MIN(ROW(K7:K48))+1))),ROW()-ROW(A$51)+1)),",",TEXT(INDEX(K7:K48,SMALL(IF(ISNUMBER(K7:K48),IF(K7:K48&gt;0,IF(N7:N48&lt;&gt;"",ROW(K7:K48)-MIN(ROW(K7:K48))+1))),ROW()-ROW(A$51)+1)),"##0"),",",SUBSTITUTE(INDEX(IF(PURCHASE_DESCRIPTION&lt;&gt;"",PURCHASE_DESCRIPTION&amp;":","")&amp;A7:A48,SMALL(IF(ISNUMBER(K7:K48),IF(K7:K48&gt;0,IF(N7:N48&lt;&gt;"",ROW(K7:K48)-MIN(ROW(K7:K48))+1))),ROW()-ROW(A$51)+1)),",",";")),"")</f>
        <v>0</v>
      </c>
      <c r="P92">
        <f t="array" ref="P92">IFERROR(CONCATENATE(TEXT(INDEX(P7:P48,SMALL(IF(ISNUMBER(P7:P48),IF(P7:P48&gt;0,IF(S7:S48&lt;&gt;"",ROW(P7:P48)-MIN(ROW(P7:P48))+1))),ROW()-ROW(A$51)+1)),"##0"),",",INDEX(S7:S48,SMALL(IF(ISNUMBER(P7:P48),IF(P7:P48&gt;0,IF(S7:S48&lt;&gt;"",ROW(P7:P48)-MIN(ROW(P7:P48))+1))),ROW()-ROW(A$51)+1)),",",SUBSTITUTE(INDEX(IF(PURCHASE_DESCRIPTION&lt;&gt;"",PURCHASE_DESCRIPTION&amp;":","")&amp;A7:A48,SMALL(IF(ISNUMBER(P7:P48),IF(P7:P48&gt;0,IF(S7:S48&lt;&gt;"",ROW(P7:P48)-MIN(ROW(P7:P48))+1))),ROW()-ROW(A$51)+1)),",",";")),"")</f>
        <v>0</v>
      </c>
      <c r="U92">
        <f t="array" ref="U92">IFERROR(CONCATENATE(INDEX(X7:X48,SMALL(IF(ISNUMBER(U7:U48),IF(U7:U48&gt;0,IF(X7:X48&lt;&gt;"",ROW(U7:U48)-MIN(ROW(U7:U48))+1))),ROW()-ROW(A$51)+1))," ",TEXT(INDEX(U7:U48,SMALL(IF(ISNUMBER(U7:U48),IF(U7:U48&gt;0,IF(X7:X48&lt;&gt;"",ROW(U7:U48)-MIN(ROW(U7:U48))+1))),ROW()-ROW(A$51)+1)),"##0")," ",SUBSTITUTE(INDEX(IF(PURCHASE_DESCRIPTION&lt;&gt;"",PURCHASE_DESCRIPTION&amp;":","")&amp;A7:A48,SMALL(IF(ISNUMBER(U7:U48),IF(U7:U48&gt;0,IF(X7:X48&lt;&gt;"",ROW(U7:U48)-MIN(ROW(U7:U48))+1))),ROW()-ROW(A$51)+1))," ",";")),"")</f>
        <v>0</v>
      </c>
      <c r="Z92">
        <f t="array" ref="Z92">IFERROR(CONCATENATE(TEXT(INDEX(Z7:Z48,SMALL(IF(ISNUMBER(Z7:Z48),IF(Z7:Z48&gt;0,IF(AC7:AC48&lt;&gt;"",ROW(Z7:Z48)-MIN(ROW(Z7:Z48))+1))),ROW()-ROW(A$52)+1)),"##0"),",",SUBSTITUTE(INDEX(IF(PURCHASE_DESCRIPTION&lt;&gt;"",PURCHASE_DESCRIPTION&amp;":","")&amp;A7:A48,SMALL(IF(ISNUMBER(Z7:Z48),IF(Z7:Z48&gt;0,IF(AC7:AC48&lt;&gt;"",ROW(Z7:Z48)-MIN(ROW(Z7:Z48))+1))),ROW()-ROW(A$52)+1)),",",";"),",",SUBSTITUTE(INDEX(IF(PURCHASE_DESCRIPTION&lt;&gt;"",PURCHASE_DESCRIPTION&amp;":","")&amp;D7:D48,SMALL(IF(ISNUMBER(Z7:Z48),IF(Z7:Z48&gt;0,IF(AC7:AC48&lt;&gt;"",ROW(Z7:Z48)-MIN(ROW(Z7:Z48))+1))),ROW()-ROW(A$52)+1)),",",";"),",",INDEX(AC7:AC48,SMALL(IF(ISNUMBER(Z7:Z48),IF(Z7:Z48&gt;0,IF(AC7:AC48&lt;&gt;"",ROW(Z7:Z48)-MIN(ROW(Z7:Z48))+1))),ROW()-ROW(A$52)+1))),"")</f>
        <v>0</v>
      </c>
      <c r="AE92">
        <f t="array" ref="AE92">IFERROR(CONCATENATE(INDEX(AH7:AH48,SMALL(IF(ISNUMBER(AE7:AE48),IF(AE7:AE48&gt;0,IF(AH7:AH48&lt;&gt;"",ROW(AE7:AE48)-MIN(ROW(AE7:AE48))+1))),ROW()-ROW(A$51)+1)),"|",TEXT(INDEX(AE7:AE48,SMALL(IF(ISNUMBER(AE7:AE48),IF(AE7:AE48&gt;0,IF(AH7:AH48&lt;&gt;"",ROW(AE7:AE48)-MIN(ROW(AE7:AE48))+1))),ROW()-ROW(A$51)+1)),"##0"),"|",SUBSTITUTE(SUBSTITUTE(INDEX(IF(PURCHASE_DESCRIPTION&lt;&gt;"",PURCHASE_DESCRIPTION&amp;":","")&amp;A7:A48,SMALL(IF(ISNUMBER(AE7:AE48),IF(AE7:AE48&gt;0,IF(AH7:AH48&lt;&gt;"",ROW(AE7:AE48)-MIN(ROW(AE7:AE48))+1))),ROW()-ROW(A$51)+1)),"|",";")," ","_")),"")</f>
        <v>0</v>
      </c>
      <c r="AJ92">
        <f t="array" ref="AJ92">IFERROR(CONCATENATE(INDEX(AM7:AM48,SMALL(IF(ISNUMBER(AJ7:AJ48),IF(AJ7:AJ48&gt;0,IF(AM7:AM48&lt;&gt;"",ROW(AJ7:AJ48)-MIN(ROW(AJ7:AJ48))+1))),ROW()-ROW(A$51)+1)),",",TEXT(INDEX(AJ7:AJ48,SMALL(IF(ISNUMBER(AJ7:AJ48),IF(AJ7:AJ48&gt;0,IF(AM7:AM48&lt;&gt;"",ROW(AJ7:AJ48)-MIN(ROW(AJ7:AJ48))+1))),ROW()-ROW(A$51)+1)),"##0"),",",SUBSTITUTE(INDEX(IF(PURCHASE_DESCRIPTION&lt;&gt;"",PURCHASE_DESCRIPTION&amp;":","")&amp;A7:A48,SMALL(IF(ISNUMBER(AJ7:AJ48),IF(AJ7:AJ48&gt;0,IF(AM7:AM48&lt;&gt;"",ROW(AJ7:AJ48)-MIN(ROW(AJ7:AJ48))+1))),ROW()-ROW(A$51)+1)),",",";")),"")</f>
        <v>0</v>
      </c>
      <c r="AO92">
        <f t="array" ref="AO92">IFERROR(CONCATENATE(INDEX(AR7:AR48,SMALL(IF(ISNUMBER(AO7:AO48),IF(AO7:AO48&gt;0,IF(AR7:AR48&lt;&gt;"",ROW(AO7:AO48)-MIN(ROW(AO7:AO48))+1))),ROW()-ROW(A$51)+1))," ",TEXT(INDEX(AO7:AO48,SMALL(IF(ISNUMBER(AO7:AO48),IF(AO7:AO48&gt;0,IF(AR7:AR48&lt;&gt;"",ROW(AO7:AO48)-MIN(ROW(AO7:AO48))+1))),ROW()-ROW(A$51)+1)),"##0")," ",SUBSTITUTE(INDEX(IF(PURCHASE_DESCRIPTION&lt;&gt;"",PURCHASE_DESCRIPTION&amp;":","")&amp;A7:A48,SMALL(IF(ISNUMBER(AO7:AO48),IF(AO7:AO48&gt;0,IF(AR7:AR48&lt;&gt;"",ROW(AO7:AO48)-MIN(ROW(AO7:AO48))+1))),ROW()-ROW(A$51)+1))," ",";")),"")</f>
        <v>0</v>
      </c>
      <c r="AT92">
        <f t="array" ref="AT92">IFERROR(CONCATENATE(INDEX(AW7:AW48,SMALL(IF(ISNUMBER(AT7:AT48),IF(AT7:AT48&gt;0,IF(AW7:AW48&lt;&gt;"",ROW(AT7:AT48)-MIN(ROW(AT7:AT48))+1))),ROW()-ROW(A$51)+1))," ",TEXT(INDEX(AT7:AT48,SMALL(IF(ISNUMBER(AT7:AT48),IF(AT7:AT48&gt;0,IF(AW7:AW48&lt;&gt;"",ROW(AT7:AT48)-MIN(ROW(AT7:AT48))+1))),ROW()-ROW(A$51)+1)),"##0")," ",SUBSTITUTE(INDEX(IF(PURCHASE_DESCRIPTION&lt;&gt;"",PURCHASE_DESCRIPTION&amp;":","")&amp;A7:A48,SMALL(IF(ISNUMBER(AT7:AT48),IF(AT7:AT48&gt;0,IF(AW7:AW48&lt;&gt;"",ROW(AT7:AT48)-MIN(ROW(AT7:AT48))+1))),ROW()-ROW(A$51)+1))," ",";")),"")</f>
        <v>0</v>
      </c>
    </row>
    <row r="93" spans="11:46">
      <c r="Z93">
        <f t="array" ref="Z93">IFERROR(CONCATENATE(TEXT(INDEX(Z7:Z48,SMALL(IF(ISNUMBER(Z7:Z48),IF(Z7:Z48&gt;0,IF(AC7:AC48&lt;&gt;"",ROW(Z7:Z48)-MIN(ROW(Z7:Z48))+1))),ROW()-ROW(A$52)+1)),"##0"),",",SUBSTITUTE(INDEX(IF(PURCHASE_DESCRIPTION&lt;&gt;"",PURCHASE_DESCRIPTION&amp;":","")&amp;A7:A48,SMALL(IF(ISNUMBER(Z7:Z48),IF(Z7:Z48&gt;0,IF(AC7:AC48&lt;&gt;"",ROW(Z7:Z48)-MIN(ROW(Z7:Z48))+1))),ROW()-ROW(A$52)+1)),",",";"),",",SUBSTITUTE(INDEX(IF(PURCHASE_DESCRIPTION&lt;&gt;"",PURCHASE_DESCRIPTION&amp;":","")&amp;D7:D48,SMALL(IF(ISNUMBER(Z7:Z48),IF(Z7:Z48&gt;0,IF(AC7:AC48&lt;&gt;"",ROW(Z7:Z48)-MIN(ROW(Z7:Z48))+1))),ROW()-ROW(A$52)+1)),",",";"),",",INDEX(AC7:AC48,SMALL(IF(ISNUMBER(Z7:Z48),IF(Z7:Z48&gt;0,IF(AC7:AC48&lt;&gt;"",ROW(Z7:Z48)-MIN(ROW(Z7:Z48))+1))),ROW()-ROW(A$52)+1))),"")</f>
        <v>0</v>
      </c>
    </row>
  </sheetData>
  <mergeCells count="9">
    <mergeCell ref="A5:I5"/>
    <mergeCell ref="J5:N5"/>
    <mergeCell ref="O5:S5"/>
    <mergeCell ref="T5:X5"/>
    <mergeCell ref="Y5:AC5"/>
    <mergeCell ref="AD5:AH5"/>
    <mergeCell ref="AI5:AM5"/>
    <mergeCell ref="AN5:AR5"/>
    <mergeCell ref="AS5:AW5"/>
  </mergeCells>
  <conditionalFormatting sqref="AA12">
    <cfRule type="cellIs" dxfId="4" priority="508" operator="lessThanOrEqual">
      <formula>H12</formula>
    </cfRule>
  </conditionalFormatting>
  <conditionalFormatting sqref="AA21">
    <cfRule type="cellIs" dxfId="4" priority="513" operator="lessThanOrEqual">
      <formula>H21</formula>
    </cfRule>
  </conditionalFormatting>
  <conditionalFormatting sqref="AA24">
    <cfRule type="cellIs" dxfId="4" priority="518" operator="lessThanOrEqual">
      <formula>H24</formula>
    </cfRule>
  </conditionalFormatting>
  <conditionalFormatting sqref="AA7">
    <cfRule type="cellIs" dxfId="4" priority="496" operator="lessThanOrEqual">
      <formula>H7</formula>
    </cfRule>
  </conditionalFormatting>
  <conditionalFormatting sqref="AA8">
    <cfRule type="cellIs" dxfId="4" priority="502" operator="lessThanOrEqual">
      <formula>H8</formula>
    </cfRule>
  </conditionalFormatting>
  <conditionalFormatting sqref="AB12">
    <cfRule type="cellIs" dxfId="4" priority="507" operator="lessThanOrEqual">
      <formula>I12</formula>
    </cfRule>
  </conditionalFormatting>
  <conditionalFormatting sqref="AB21">
    <cfRule type="cellIs" dxfId="4" priority="512" operator="lessThanOrEqual">
      <formula>I21</formula>
    </cfRule>
  </conditionalFormatting>
  <conditionalFormatting sqref="AB24">
    <cfRule type="cellIs" dxfId="4" priority="517" operator="lessThanOrEqual">
      <formula>I24</formula>
    </cfRule>
  </conditionalFormatting>
  <conditionalFormatting sqref="AB7">
    <cfRule type="cellIs" dxfId="4" priority="495" operator="lessThanOrEqual">
      <formula>I7</formula>
    </cfRule>
  </conditionalFormatting>
  <conditionalFormatting sqref="AB8">
    <cfRule type="cellIs" dxfId="4" priority="501" operator="lessThanOrEqual">
      <formula>I8</formula>
    </cfRule>
  </conditionalFormatting>
  <conditionalFormatting sqref="AD11">
    <cfRule type="cellIs" dxfId="1" priority="529" operator="equal">
      <formula>0</formula>
    </cfRule>
    <cfRule type="cellIs" dxfId="2" priority="530" operator="lessThan">
      <formula>G11</formula>
    </cfRule>
  </conditionalFormatting>
  <conditionalFormatting sqref="AD12">
    <cfRule type="cellIs" dxfId="1" priority="534" operator="equal">
      <formula>0</formula>
    </cfRule>
    <cfRule type="cellIs" dxfId="2" priority="535" operator="lessThan">
      <formula>G12</formula>
    </cfRule>
  </conditionalFormatting>
  <conditionalFormatting sqref="AD13">
    <cfRule type="cellIs" dxfId="1" priority="539" operator="equal">
      <formula>0</formula>
    </cfRule>
    <cfRule type="cellIs" dxfId="2" priority="540" operator="lessThan">
      <formula>G13</formula>
    </cfRule>
  </conditionalFormatting>
  <conditionalFormatting sqref="AD14">
    <cfRule type="cellIs" dxfId="1" priority="544" operator="equal">
      <formula>0</formula>
    </cfRule>
    <cfRule type="cellIs" dxfId="2" priority="545" operator="lessThan">
      <formula>G14</formula>
    </cfRule>
  </conditionalFormatting>
  <conditionalFormatting sqref="AD15">
    <cfRule type="cellIs" dxfId="1" priority="549" operator="equal">
      <formula>0</formula>
    </cfRule>
    <cfRule type="cellIs" dxfId="2" priority="550" operator="lessThan">
      <formula>G15</formula>
    </cfRule>
  </conditionalFormatting>
  <conditionalFormatting sqref="AD16">
    <cfRule type="cellIs" dxfId="1" priority="554" operator="equal">
      <formula>0</formula>
    </cfRule>
    <cfRule type="cellIs" dxfId="2" priority="555" operator="lessThan">
      <formula>G16</formula>
    </cfRule>
  </conditionalFormatting>
  <conditionalFormatting sqref="AD17">
    <cfRule type="cellIs" dxfId="1" priority="559" operator="equal">
      <formula>0</formula>
    </cfRule>
    <cfRule type="cellIs" dxfId="2" priority="560" operator="lessThan">
      <formula>G17</formula>
    </cfRule>
  </conditionalFormatting>
  <conditionalFormatting sqref="AD20">
    <cfRule type="cellIs" dxfId="1" priority="564" operator="equal">
      <formula>0</formula>
    </cfRule>
    <cfRule type="cellIs" dxfId="2" priority="565" operator="lessThan">
      <formula>G20</formula>
    </cfRule>
  </conditionalFormatting>
  <conditionalFormatting sqref="AD21">
    <cfRule type="cellIs" dxfId="1" priority="569" operator="equal">
      <formula>0</formula>
    </cfRule>
    <cfRule type="cellIs" dxfId="2" priority="570" operator="lessThan">
      <formula>G21</formula>
    </cfRule>
  </conditionalFormatting>
  <conditionalFormatting sqref="AD22">
    <cfRule type="cellIs" dxfId="1" priority="574" operator="equal">
      <formula>0</formula>
    </cfRule>
    <cfRule type="cellIs" dxfId="2" priority="575" operator="lessThan">
      <formula>G22</formula>
    </cfRule>
  </conditionalFormatting>
  <conditionalFormatting sqref="AD24">
    <cfRule type="cellIs" dxfId="1" priority="579" operator="equal">
      <formula>0</formula>
    </cfRule>
    <cfRule type="cellIs" dxfId="2" priority="580" operator="lessThan">
      <formula>G24</formula>
    </cfRule>
  </conditionalFormatting>
  <conditionalFormatting sqref="AD26">
    <cfRule type="cellIs" dxfId="1" priority="584" operator="equal">
      <formula>0</formula>
    </cfRule>
    <cfRule type="cellIs" dxfId="2" priority="585" operator="lessThan">
      <formula>G26</formula>
    </cfRule>
  </conditionalFormatting>
  <conditionalFormatting sqref="AD27">
    <cfRule type="cellIs" dxfId="1" priority="589" operator="equal">
      <formula>0</formula>
    </cfRule>
    <cfRule type="cellIs" dxfId="2" priority="590" operator="lessThan">
      <formula>G27</formula>
    </cfRule>
  </conditionalFormatting>
  <conditionalFormatting sqref="AD28">
    <cfRule type="cellIs" dxfId="1" priority="594" operator="equal">
      <formula>0</formula>
    </cfRule>
    <cfRule type="cellIs" dxfId="2" priority="595" operator="lessThan">
      <formula>G28</formula>
    </cfRule>
  </conditionalFormatting>
  <conditionalFormatting sqref="AD29">
    <cfRule type="cellIs" dxfId="1" priority="599" operator="equal">
      <formula>0</formula>
    </cfRule>
    <cfRule type="cellIs" dxfId="2" priority="600" operator="lessThan">
      <formula>G29</formula>
    </cfRule>
  </conditionalFormatting>
  <conditionalFormatting sqref="AD30">
    <cfRule type="cellIs" dxfId="1" priority="604" operator="equal">
      <formula>0</formula>
    </cfRule>
    <cfRule type="cellIs" dxfId="2" priority="605" operator="lessThan">
      <formula>G30</formula>
    </cfRule>
  </conditionalFormatting>
  <conditionalFormatting sqref="AD31">
    <cfRule type="cellIs" dxfId="1" priority="609" operator="equal">
      <formula>0</formula>
    </cfRule>
    <cfRule type="cellIs" dxfId="2" priority="610" operator="lessThan">
      <formula>G31</formula>
    </cfRule>
  </conditionalFormatting>
  <conditionalFormatting sqref="AD32">
    <cfRule type="cellIs" dxfId="1" priority="614" operator="equal">
      <formula>0</formula>
    </cfRule>
    <cfRule type="cellIs" dxfId="2" priority="615" operator="lessThan">
      <formula>G32</formula>
    </cfRule>
  </conditionalFormatting>
  <conditionalFormatting sqref="AD33">
    <cfRule type="cellIs" dxfId="1" priority="619" operator="equal">
      <formula>0</formula>
    </cfRule>
    <cfRule type="cellIs" dxfId="2" priority="620" operator="lessThan">
      <formula>G33</formula>
    </cfRule>
  </conditionalFormatting>
  <conditionalFormatting sqref="AD34">
    <cfRule type="cellIs" dxfId="1" priority="624" operator="equal">
      <formula>0</formula>
    </cfRule>
    <cfRule type="cellIs" dxfId="2" priority="625" operator="lessThan">
      <formula>G34</formula>
    </cfRule>
  </conditionalFormatting>
  <conditionalFormatting sqref="AD36">
    <cfRule type="cellIs" dxfId="1" priority="629" operator="equal">
      <formula>0</formula>
    </cfRule>
    <cfRule type="cellIs" dxfId="2" priority="630" operator="lessThan">
      <formula>G36</formula>
    </cfRule>
  </conditionalFormatting>
  <conditionalFormatting sqref="AD37">
    <cfRule type="cellIs" dxfId="1" priority="634" operator="equal">
      <formula>0</formula>
    </cfRule>
    <cfRule type="cellIs" dxfId="2" priority="635" operator="lessThan">
      <formula>G37</formula>
    </cfRule>
  </conditionalFormatting>
  <conditionalFormatting sqref="AD40">
    <cfRule type="cellIs" dxfId="1" priority="639" operator="equal">
      <formula>0</formula>
    </cfRule>
    <cfRule type="cellIs" dxfId="2" priority="640" operator="lessThan">
      <formula>G40</formula>
    </cfRule>
  </conditionalFormatting>
  <conditionalFormatting sqref="AD42">
    <cfRule type="cellIs" dxfId="1" priority="644" operator="equal">
      <formula>0</formula>
    </cfRule>
    <cfRule type="cellIs" dxfId="2" priority="645" operator="lessThan">
      <formula>G42</formula>
    </cfRule>
  </conditionalFormatting>
  <conditionalFormatting sqref="AD45">
    <cfRule type="cellIs" dxfId="1" priority="649" operator="equal">
      <formula>0</formula>
    </cfRule>
    <cfRule type="cellIs" dxfId="2" priority="650" operator="lessThan">
      <formula>G45</formula>
    </cfRule>
  </conditionalFormatting>
  <conditionalFormatting sqref="AD46">
    <cfRule type="cellIs" dxfId="1" priority="654" operator="equal">
      <formula>0</formula>
    </cfRule>
    <cfRule type="cellIs" dxfId="2" priority="655" operator="lessThan">
      <formula>G46</formula>
    </cfRule>
  </conditionalFormatting>
  <conditionalFormatting sqref="AD8">
    <cfRule type="cellIs" dxfId="1" priority="519" operator="equal">
      <formula>0</formula>
    </cfRule>
    <cfRule type="cellIs" dxfId="2" priority="520" operator="lessThan">
      <formula>G8</formula>
    </cfRule>
  </conditionalFormatting>
  <conditionalFormatting sqref="AD9">
    <cfRule type="cellIs" dxfId="1" priority="524" operator="equal">
      <formula>0</formula>
    </cfRule>
    <cfRule type="cellIs" dxfId="2" priority="525" operator="lessThan">
      <formula>G9</formula>
    </cfRule>
  </conditionalFormatting>
  <conditionalFormatting sqref="AE11">
    <cfRule type="cellIs" dxfId="1" priority="531" operator="greaterThan">
      <formula>AD11</formula>
    </cfRule>
  </conditionalFormatting>
  <conditionalFormatting sqref="AE12">
    <cfRule type="cellIs" dxfId="1" priority="536" operator="greaterThan">
      <formula>AD12</formula>
    </cfRule>
  </conditionalFormatting>
  <conditionalFormatting sqref="AE13">
    <cfRule type="cellIs" dxfId="1" priority="541" operator="greaterThan">
      <formula>AD13</formula>
    </cfRule>
  </conditionalFormatting>
  <conditionalFormatting sqref="AE14">
    <cfRule type="cellIs" dxfId="1" priority="546" operator="greaterThan">
      <formula>AD14</formula>
    </cfRule>
  </conditionalFormatting>
  <conditionalFormatting sqref="AE15">
    <cfRule type="cellIs" dxfId="1" priority="551" operator="greaterThan">
      <formula>AD15</formula>
    </cfRule>
  </conditionalFormatting>
  <conditionalFormatting sqref="AE16">
    <cfRule type="cellIs" dxfId="1" priority="556" operator="greaterThan">
      <formula>AD16</formula>
    </cfRule>
  </conditionalFormatting>
  <conditionalFormatting sqref="AE17">
    <cfRule type="cellIs" dxfId="1" priority="561" operator="greaterThan">
      <formula>AD17</formula>
    </cfRule>
  </conditionalFormatting>
  <conditionalFormatting sqref="AE20">
    <cfRule type="cellIs" dxfId="1" priority="566" operator="greaterThan">
      <formula>AD20</formula>
    </cfRule>
  </conditionalFormatting>
  <conditionalFormatting sqref="AE21">
    <cfRule type="cellIs" dxfId="1" priority="571" operator="greaterThan">
      <formula>AD21</formula>
    </cfRule>
  </conditionalFormatting>
  <conditionalFormatting sqref="AE22">
    <cfRule type="cellIs" dxfId="1" priority="576" operator="greaterThan">
      <formula>AD22</formula>
    </cfRule>
  </conditionalFormatting>
  <conditionalFormatting sqref="AE24">
    <cfRule type="cellIs" dxfId="1" priority="581" operator="greaterThan">
      <formula>AD24</formula>
    </cfRule>
  </conditionalFormatting>
  <conditionalFormatting sqref="AE26">
    <cfRule type="cellIs" dxfId="1" priority="586" operator="greaterThan">
      <formula>AD26</formula>
    </cfRule>
  </conditionalFormatting>
  <conditionalFormatting sqref="AE27">
    <cfRule type="cellIs" dxfId="1" priority="591" operator="greaterThan">
      <formula>AD27</formula>
    </cfRule>
  </conditionalFormatting>
  <conditionalFormatting sqref="AE28">
    <cfRule type="cellIs" dxfId="1" priority="596" operator="greaterThan">
      <formula>AD28</formula>
    </cfRule>
  </conditionalFormatting>
  <conditionalFormatting sqref="AE29">
    <cfRule type="cellIs" dxfId="1" priority="601" operator="greaterThan">
      <formula>AD29</formula>
    </cfRule>
  </conditionalFormatting>
  <conditionalFormatting sqref="AE30">
    <cfRule type="cellIs" dxfId="1" priority="606" operator="greaterThan">
      <formula>AD30</formula>
    </cfRule>
  </conditionalFormatting>
  <conditionalFormatting sqref="AE31">
    <cfRule type="cellIs" dxfId="1" priority="611" operator="greaterThan">
      <formula>AD31</formula>
    </cfRule>
  </conditionalFormatting>
  <conditionalFormatting sqref="AE32">
    <cfRule type="cellIs" dxfId="1" priority="616" operator="greaterThan">
      <formula>AD32</formula>
    </cfRule>
  </conditionalFormatting>
  <conditionalFormatting sqref="AE33">
    <cfRule type="cellIs" dxfId="1" priority="621" operator="greaterThan">
      <formula>AD33</formula>
    </cfRule>
  </conditionalFormatting>
  <conditionalFormatting sqref="AE34">
    <cfRule type="cellIs" dxfId="1" priority="626" operator="greaterThan">
      <formula>AD34</formula>
    </cfRule>
  </conditionalFormatting>
  <conditionalFormatting sqref="AE36">
    <cfRule type="cellIs" dxfId="1" priority="631" operator="greaterThan">
      <formula>AD36</formula>
    </cfRule>
  </conditionalFormatting>
  <conditionalFormatting sqref="AE37">
    <cfRule type="cellIs" dxfId="1" priority="636" operator="greaterThan">
      <formula>AD37</formula>
    </cfRule>
  </conditionalFormatting>
  <conditionalFormatting sqref="AE40">
    <cfRule type="cellIs" dxfId="1" priority="641" operator="greaterThan">
      <formula>AD40</formula>
    </cfRule>
  </conditionalFormatting>
  <conditionalFormatting sqref="AE42">
    <cfRule type="cellIs" dxfId="1" priority="646" operator="greaterThan">
      <formula>AD42</formula>
    </cfRule>
  </conditionalFormatting>
  <conditionalFormatting sqref="AE45">
    <cfRule type="cellIs" dxfId="1" priority="651" operator="greaterThan">
      <formula>AD45</formula>
    </cfRule>
  </conditionalFormatting>
  <conditionalFormatting sqref="AE46">
    <cfRule type="cellIs" dxfId="1" priority="656" operator="greaterThan">
      <formula>AD46</formula>
    </cfRule>
  </conditionalFormatting>
  <conditionalFormatting sqref="AE8">
    <cfRule type="cellIs" dxfId="1" priority="521" operator="greaterThan">
      <formula>AD8</formula>
    </cfRule>
  </conditionalFormatting>
  <conditionalFormatting sqref="AE9">
    <cfRule type="cellIs" dxfId="1" priority="526" operator="greaterThan">
      <formula>AD9</formula>
    </cfRule>
  </conditionalFormatting>
  <conditionalFormatting sqref="AF11">
    <cfRule type="cellIs" dxfId="4" priority="533" operator="lessThanOrEqual">
      <formula>H11</formula>
    </cfRule>
  </conditionalFormatting>
  <conditionalFormatting sqref="AF12">
    <cfRule type="cellIs" dxfId="4" priority="538" operator="lessThanOrEqual">
      <formula>H12</formula>
    </cfRule>
  </conditionalFormatting>
  <conditionalFormatting sqref="AF13">
    <cfRule type="cellIs" dxfId="4" priority="543" operator="lessThanOrEqual">
      <formula>H13</formula>
    </cfRule>
  </conditionalFormatting>
  <conditionalFormatting sqref="AF14">
    <cfRule type="cellIs" dxfId="4" priority="548" operator="lessThanOrEqual">
      <formula>H14</formula>
    </cfRule>
  </conditionalFormatting>
  <conditionalFormatting sqref="AF15">
    <cfRule type="cellIs" dxfId="4" priority="553" operator="lessThanOrEqual">
      <formula>H15</formula>
    </cfRule>
  </conditionalFormatting>
  <conditionalFormatting sqref="AF16">
    <cfRule type="cellIs" dxfId="4" priority="558" operator="lessThanOrEqual">
      <formula>H16</formula>
    </cfRule>
  </conditionalFormatting>
  <conditionalFormatting sqref="AF17">
    <cfRule type="cellIs" dxfId="4" priority="563" operator="lessThanOrEqual">
      <formula>H17</formula>
    </cfRule>
  </conditionalFormatting>
  <conditionalFormatting sqref="AF20">
    <cfRule type="cellIs" dxfId="4" priority="568" operator="lessThanOrEqual">
      <formula>H20</formula>
    </cfRule>
  </conditionalFormatting>
  <conditionalFormatting sqref="AF21">
    <cfRule type="cellIs" dxfId="4" priority="573" operator="lessThanOrEqual">
      <formula>H21</formula>
    </cfRule>
  </conditionalFormatting>
  <conditionalFormatting sqref="AF22">
    <cfRule type="cellIs" dxfId="4" priority="578" operator="lessThanOrEqual">
      <formula>H22</formula>
    </cfRule>
  </conditionalFormatting>
  <conditionalFormatting sqref="AF24">
    <cfRule type="cellIs" dxfId="4" priority="583" operator="lessThanOrEqual">
      <formula>H24</formula>
    </cfRule>
  </conditionalFormatting>
  <conditionalFormatting sqref="AF26">
    <cfRule type="cellIs" dxfId="4" priority="588" operator="lessThanOrEqual">
      <formula>H26</formula>
    </cfRule>
  </conditionalFormatting>
  <conditionalFormatting sqref="AF27">
    <cfRule type="cellIs" dxfId="4" priority="593" operator="lessThanOrEqual">
      <formula>H27</formula>
    </cfRule>
  </conditionalFormatting>
  <conditionalFormatting sqref="AF28">
    <cfRule type="cellIs" dxfId="4" priority="598" operator="lessThanOrEqual">
      <formula>H28</formula>
    </cfRule>
  </conditionalFormatting>
  <conditionalFormatting sqref="AF29">
    <cfRule type="cellIs" dxfId="4" priority="603" operator="lessThanOrEqual">
      <formula>H29</formula>
    </cfRule>
  </conditionalFormatting>
  <conditionalFormatting sqref="AF30">
    <cfRule type="cellIs" dxfId="4" priority="608" operator="lessThanOrEqual">
      <formula>H30</formula>
    </cfRule>
  </conditionalFormatting>
  <conditionalFormatting sqref="AF31">
    <cfRule type="cellIs" dxfId="4" priority="613" operator="lessThanOrEqual">
      <formula>H31</formula>
    </cfRule>
  </conditionalFormatting>
  <conditionalFormatting sqref="AF32">
    <cfRule type="cellIs" dxfId="4" priority="618" operator="lessThanOrEqual">
      <formula>H32</formula>
    </cfRule>
  </conditionalFormatting>
  <conditionalFormatting sqref="AF33">
    <cfRule type="cellIs" dxfId="4" priority="623" operator="lessThanOrEqual">
      <formula>H33</formula>
    </cfRule>
  </conditionalFormatting>
  <conditionalFormatting sqref="AF34">
    <cfRule type="cellIs" dxfId="4" priority="628" operator="lessThanOrEqual">
      <formula>H34</formula>
    </cfRule>
  </conditionalFormatting>
  <conditionalFormatting sqref="AF36">
    <cfRule type="cellIs" dxfId="4" priority="633" operator="lessThanOrEqual">
      <formula>H36</formula>
    </cfRule>
  </conditionalFormatting>
  <conditionalFormatting sqref="AF37">
    <cfRule type="cellIs" dxfId="4" priority="638" operator="lessThanOrEqual">
      <formula>H37</formula>
    </cfRule>
  </conditionalFormatting>
  <conditionalFormatting sqref="AF40">
    <cfRule type="cellIs" dxfId="4" priority="643" operator="lessThanOrEqual">
      <formula>H40</formula>
    </cfRule>
  </conditionalFormatting>
  <conditionalFormatting sqref="AF42">
    <cfRule type="cellIs" dxfId="4" priority="648" operator="lessThanOrEqual">
      <formula>H42</formula>
    </cfRule>
  </conditionalFormatting>
  <conditionalFormatting sqref="AF45">
    <cfRule type="cellIs" dxfId="4" priority="653" operator="lessThanOrEqual">
      <formula>H45</formula>
    </cfRule>
  </conditionalFormatting>
  <conditionalFormatting sqref="AF46">
    <cfRule type="cellIs" dxfId="4" priority="658" operator="lessThanOrEqual">
      <formula>H46</formula>
    </cfRule>
  </conditionalFormatting>
  <conditionalFormatting sqref="AF8">
    <cfRule type="cellIs" dxfId="4" priority="523" operator="lessThanOrEqual">
      <formula>H8</formula>
    </cfRule>
  </conditionalFormatting>
  <conditionalFormatting sqref="AF9">
    <cfRule type="cellIs" dxfId="4" priority="528" operator="lessThanOrEqual">
      <formula>H9</formula>
    </cfRule>
  </conditionalFormatting>
  <conditionalFormatting sqref="AG11">
    <cfRule type="cellIs" dxfId="4" priority="532" operator="lessThanOrEqual">
      <formula>I11</formula>
    </cfRule>
  </conditionalFormatting>
  <conditionalFormatting sqref="AG12">
    <cfRule type="cellIs" dxfId="4" priority="537" operator="lessThanOrEqual">
      <formula>I12</formula>
    </cfRule>
  </conditionalFormatting>
  <conditionalFormatting sqref="AG13">
    <cfRule type="cellIs" dxfId="4" priority="542" operator="lessThanOrEqual">
      <formula>I13</formula>
    </cfRule>
  </conditionalFormatting>
  <conditionalFormatting sqref="AG14">
    <cfRule type="cellIs" dxfId="4" priority="547" operator="lessThanOrEqual">
      <formula>I14</formula>
    </cfRule>
  </conditionalFormatting>
  <conditionalFormatting sqref="AG15">
    <cfRule type="cellIs" dxfId="4" priority="552" operator="lessThanOrEqual">
      <formula>I15</formula>
    </cfRule>
  </conditionalFormatting>
  <conditionalFormatting sqref="AG16">
    <cfRule type="cellIs" dxfId="4" priority="557" operator="lessThanOrEqual">
      <formula>I16</formula>
    </cfRule>
  </conditionalFormatting>
  <conditionalFormatting sqref="AG17">
    <cfRule type="cellIs" dxfId="4" priority="562" operator="lessThanOrEqual">
      <formula>I17</formula>
    </cfRule>
  </conditionalFormatting>
  <conditionalFormatting sqref="AG20">
    <cfRule type="cellIs" dxfId="4" priority="567" operator="lessThanOrEqual">
      <formula>I20</formula>
    </cfRule>
  </conditionalFormatting>
  <conditionalFormatting sqref="AG21">
    <cfRule type="cellIs" dxfId="4" priority="572" operator="lessThanOrEqual">
      <formula>I21</formula>
    </cfRule>
  </conditionalFormatting>
  <conditionalFormatting sqref="AG22">
    <cfRule type="cellIs" dxfId="4" priority="577" operator="lessThanOrEqual">
      <formula>I22</formula>
    </cfRule>
  </conditionalFormatting>
  <conditionalFormatting sqref="AG24">
    <cfRule type="cellIs" dxfId="4" priority="582" operator="lessThanOrEqual">
      <formula>I24</formula>
    </cfRule>
  </conditionalFormatting>
  <conditionalFormatting sqref="AG26">
    <cfRule type="cellIs" dxfId="4" priority="587" operator="lessThanOrEqual">
      <formula>I26</formula>
    </cfRule>
  </conditionalFormatting>
  <conditionalFormatting sqref="AG27">
    <cfRule type="cellIs" dxfId="4" priority="592" operator="lessThanOrEqual">
      <formula>I27</formula>
    </cfRule>
  </conditionalFormatting>
  <conditionalFormatting sqref="AG28">
    <cfRule type="cellIs" dxfId="4" priority="597" operator="lessThanOrEqual">
      <formula>I28</formula>
    </cfRule>
  </conditionalFormatting>
  <conditionalFormatting sqref="AG29">
    <cfRule type="cellIs" dxfId="4" priority="602" operator="lessThanOrEqual">
      <formula>I29</formula>
    </cfRule>
  </conditionalFormatting>
  <conditionalFormatting sqref="AG30">
    <cfRule type="cellIs" dxfId="4" priority="607" operator="lessThanOrEqual">
      <formula>I30</formula>
    </cfRule>
  </conditionalFormatting>
  <conditionalFormatting sqref="AG31">
    <cfRule type="cellIs" dxfId="4" priority="612" operator="lessThanOrEqual">
      <formula>I31</formula>
    </cfRule>
  </conditionalFormatting>
  <conditionalFormatting sqref="AG32">
    <cfRule type="cellIs" dxfId="4" priority="617" operator="lessThanOrEqual">
      <formula>I32</formula>
    </cfRule>
  </conditionalFormatting>
  <conditionalFormatting sqref="AG33">
    <cfRule type="cellIs" dxfId="4" priority="622" operator="lessThanOrEqual">
      <formula>I33</formula>
    </cfRule>
  </conditionalFormatting>
  <conditionalFormatting sqref="AG34">
    <cfRule type="cellIs" dxfId="4" priority="627" operator="lessThanOrEqual">
      <formula>I34</formula>
    </cfRule>
  </conditionalFormatting>
  <conditionalFormatting sqref="AG36">
    <cfRule type="cellIs" dxfId="4" priority="632" operator="lessThanOrEqual">
      <formula>I36</formula>
    </cfRule>
  </conditionalFormatting>
  <conditionalFormatting sqref="AG37">
    <cfRule type="cellIs" dxfId="4" priority="637" operator="lessThanOrEqual">
      <formula>I37</formula>
    </cfRule>
  </conditionalFormatting>
  <conditionalFormatting sqref="AG40">
    <cfRule type="cellIs" dxfId="4" priority="642" operator="lessThanOrEqual">
      <formula>I40</formula>
    </cfRule>
  </conditionalFormatting>
  <conditionalFormatting sqref="AG42">
    <cfRule type="cellIs" dxfId="4" priority="647" operator="lessThanOrEqual">
      <formula>I42</formula>
    </cfRule>
  </conditionalFormatting>
  <conditionalFormatting sqref="AG45">
    <cfRule type="cellIs" dxfId="4" priority="652" operator="lessThanOrEqual">
      <formula>I45</formula>
    </cfRule>
  </conditionalFormatting>
  <conditionalFormatting sqref="AG46">
    <cfRule type="cellIs" dxfId="4" priority="657" operator="lessThanOrEqual">
      <formula>I46</formula>
    </cfRule>
  </conditionalFormatting>
  <conditionalFormatting sqref="AG8">
    <cfRule type="cellIs" dxfId="4" priority="522" operator="lessThanOrEqual">
      <formula>I8</formula>
    </cfRule>
  </conditionalFormatting>
  <conditionalFormatting sqref="AG9">
    <cfRule type="cellIs" dxfId="4" priority="527" operator="lessThanOrEqual">
      <formula>I9</formula>
    </cfRule>
  </conditionalFormatting>
  <conditionalFormatting sqref="AI15">
    <cfRule type="cellIs" dxfId="1" priority="664" operator="equal">
      <formula>0</formula>
    </cfRule>
    <cfRule type="cellIs" dxfId="2" priority="665" operator="lessThan">
      <formula>G15</formula>
    </cfRule>
  </conditionalFormatting>
  <conditionalFormatting sqref="AI16">
    <cfRule type="cellIs" dxfId="1" priority="670" operator="equal">
      <formula>0</formula>
    </cfRule>
    <cfRule type="cellIs" dxfId="2" priority="671" operator="lessThan">
      <formula>G16</formula>
    </cfRule>
  </conditionalFormatting>
  <conditionalFormatting sqref="AI17">
    <cfRule type="cellIs" dxfId="1" priority="676" operator="equal">
      <formula>0</formula>
    </cfRule>
    <cfRule type="cellIs" dxfId="2" priority="677" operator="lessThan">
      <formula>G17</formula>
    </cfRule>
  </conditionalFormatting>
  <conditionalFormatting sqref="AI19">
    <cfRule type="cellIs" dxfId="1" priority="681" operator="equal">
      <formula>0</formula>
    </cfRule>
    <cfRule type="cellIs" dxfId="2" priority="682" operator="lessThan">
      <formula>G19</formula>
    </cfRule>
  </conditionalFormatting>
  <conditionalFormatting sqref="AI20">
    <cfRule type="cellIs" dxfId="1" priority="686" operator="equal">
      <formula>0</formula>
    </cfRule>
    <cfRule type="cellIs" dxfId="2" priority="687" operator="lessThan">
      <formula>G20</formula>
    </cfRule>
  </conditionalFormatting>
  <conditionalFormatting sqref="AI21">
    <cfRule type="cellIs" dxfId="1" priority="691" operator="equal">
      <formula>0</formula>
    </cfRule>
    <cfRule type="cellIs" dxfId="2" priority="692" operator="lessThan">
      <formula>G21</formula>
    </cfRule>
  </conditionalFormatting>
  <conditionalFormatting sqref="AI23">
    <cfRule type="cellIs" dxfId="1" priority="696" operator="equal">
      <formula>0</formula>
    </cfRule>
    <cfRule type="cellIs" dxfId="2" priority="697" operator="lessThan">
      <formula>G23</formula>
    </cfRule>
  </conditionalFormatting>
  <conditionalFormatting sqref="AI24">
    <cfRule type="cellIs" dxfId="1" priority="701" operator="equal">
      <formula>0</formula>
    </cfRule>
    <cfRule type="cellIs" dxfId="2" priority="702" operator="lessThan">
      <formula>G24</formula>
    </cfRule>
  </conditionalFormatting>
  <conditionalFormatting sqref="AI26">
    <cfRule type="cellIs" dxfId="1" priority="706" operator="equal">
      <formula>0</formula>
    </cfRule>
    <cfRule type="cellIs" dxfId="2" priority="707" operator="lessThan">
      <formula>G26</formula>
    </cfRule>
  </conditionalFormatting>
  <conditionalFormatting sqref="AI28">
    <cfRule type="cellIs" dxfId="1" priority="711" operator="equal">
      <formula>0</formula>
    </cfRule>
    <cfRule type="cellIs" dxfId="2" priority="712" operator="lessThan">
      <formula>G28</formula>
    </cfRule>
  </conditionalFormatting>
  <conditionalFormatting sqref="AI29">
    <cfRule type="cellIs" dxfId="1" priority="716" operator="equal">
      <formula>0</formula>
    </cfRule>
    <cfRule type="cellIs" dxfId="2" priority="717" operator="lessThan">
      <formula>G29</formula>
    </cfRule>
  </conditionalFormatting>
  <conditionalFormatting sqref="AI30">
    <cfRule type="cellIs" dxfId="1" priority="721" operator="equal">
      <formula>0</formula>
    </cfRule>
    <cfRule type="cellIs" dxfId="2" priority="722" operator="lessThan">
      <formula>G30</formula>
    </cfRule>
  </conditionalFormatting>
  <conditionalFormatting sqref="AI31">
    <cfRule type="cellIs" dxfId="1" priority="727" operator="equal">
      <formula>0</formula>
    </cfRule>
    <cfRule type="cellIs" dxfId="2" priority="728" operator="lessThan">
      <formula>G31</formula>
    </cfRule>
  </conditionalFormatting>
  <conditionalFormatting sqref="AI32">
    <cfRule type="cellIs" dxfId="1" priority="732" operator="equal">
      <formula>0</formula>
    </cfRule>
    <cfRule type="cellIs" dxfId="2" priority="733" operator="lessThan">
      <formula>G32</formula>
    </cfRule>
  </conditionalFormatting>
  <conditionalFormatting sqref="AI33">
    <cfRule type="cellIs" dxfId="1" priority="737" operator="equal">
      <formula>0</formula>
    </cfRule>
    <cfRule type="cellIs" dxfId="2" priority="738" operator="lessThan">
      <formula>G33</formula>
    </cfRule>
  </conditionalFormatting>
  <conditionalFormatting sqref="AI34">
    <cfRule type="cellIs" dxfId="1" priority="743" operator="equal">
      <formula>0</formula>
    </cfRule>
    <cfRule type="cellIs" dxfId="2" priority="744" operator="lessThan">
      <formula>G34</formula>
    </cfRule>
  </conditionalFormatting>
  <conditionalFormatting sqref="AI36">
    <cfRule type="cellIs" dxfId="1" priority="748" operator="equal">
      <formula>0</formula>
    </cfRule>
    <cfRule type="cellIs" dxfId="2" priority="749" operator="lessThan">
      <formula>G36</formula>
    </cfRule>
  </conditionalFormatting>
  <conditionalFormatting sqref="AI37">
    <cfRule type="cellIs" dxfId="1" priority="753" operator="equal">
      <formula>0</formula>
    </cfRule>
    <cfRule type="cellIs" dxfId="2" priority="754" operator="lessThan">
      <formula>G37</formula>
    </cfRule>
  </conditionalFormatting>
  <conditionalFormatting sqref="AI42">
    <cfRule type="cellIs" dxfId="1" priority="758" operator="equal">
      <formula>0</formula>
    </cfRule>
    <cfRule type="cellIs" dxfId="2" priority="759" operator="lessThan">
      <formula>G42</formula>
    </cfRule>
  </conditionalFormatting>
  <conditionalFormatting sqref="AI45">
    <cfRule type="cellIs" dxfId="1" priority="763" operator="equal">
      <formula>0</formula>
    </cfRule>
    <cfRule type="cellIs" dxfId="2" priority="764" operator="lessThan">
      <formula>G45</formula>
    </cfRule>
  </conditionalFormatting>
  <conditionalFormatting sqref="AI46">
    <cfRule type="cellIs" dxfId="1" priority="768" operator="equal">
      <formula>0</formula>
    </cfRule>
    <cfRule type="cellIs" dxfId="2" priority="769" operator="lessThan">
      <formula>G46</formula>
    </cfRule>
  </conditionalFormatting>
  <conditionalFormatting sqref="AI7">
    <cfRule type="cellIs" dxfId="1" priority="659" operator="equal">
      <formula>0</formula>
    </cfRule>
    <cfRule type="cellIs" dxfId="2" priority="660" operator="lessThan">
      <formula>G7</formula>
    </cfRule>
  </conditionalFormatting>
  <conditionalFormatting sqref="AJ15">
    <cfRule type="expression" dxfId="3" priority="666">
      <formula>AND(AJ15&gt;0,AJ15&lt;5)</formula>
    </cfRule>
    <cfRule type="cellIs" dxfId="1" priority="667" operator="greaterThan">
      <formula>AI15</formula>
    </cfRule>
  </conditionalFormatting>
  <conditionalFormatting sqref="AJ16">
    <cfRule type="expression" dxfId="3" priority="672">
      <formula>AND(AJ16&gt;0,AJ16&lt;5)</formula>
    </cfRule>
    <cfRule type="cellIs" dxfId="1" priority="673" operator="greaterThan">
      <formula>AI16</formula>
    </cfRule>
  </conditionalFormatting>
  <conditionalFormatting sqref="AJ17">
    <cfRule type="cellIs" dxfId="1" priority="678" operator="greaterThan">
      <formula>AI17</formula>
    </cfRule>
  </conditionalFormatting>
  <conditionalFormatting sqref="AJ19">
    <cfRule type="cellIs" dxfId="1" priority="683" operator="greaterThan">
      <formula>AI19</formula>
    </cfRule>
  </conditionalFormatting>
  <conditionalFormatting sqref="AJ20">
    <cfRule type="cellIs" dxfId="1" priority="688" operator="greaterThan">
      <formula>AI20</formula>
    </cfRule>
  </conditionalFormatting>
  <conditionalFormatting sqref="AJ21">
    <cfRule type="cellIs" dxfId="1" priority="693" operator="greaterThan">
      <formula>AI21</formula>
    </cfRule>
  </conditionalFormatting>
  <conditionalFormatting sqref="AJ23">
    <cfRule type="cellIs" dxfId="1" priority="698" operator="greaterThan">
      <formula>AI23</formula>
    </cfRule>
  </conditionalFormatting>
  <conditionalFormatting sqref="AJ24">
    <cfRule type="cellIs" dxfId="1" priority="703" operator="greaterThan">
      <formula>AI24</formula>
    </cfRule>
  </conditionalFormatting>
  <conditionalFormatting sqref="AJ26">
    <cfRule type="cellIs" dxfId="1" priority="708" operator="greaterThan">
      <formula>AI26</formula>
    </cfRule>
  </conditionalFormatting>
  <conditionalFormatting sqref="AJ28">
    <cfRule type="cellIs" dxfId="1" priority="713" operator="greaterThan">
      <formula>AI28</formula>
    </cfRule>
  </conditionalFormatting>
  <conditionalFormatting sqref="AJ29">
    <cfRule type="cellIs" dxfId="1" priority="718" operator="greaterThan">
      <formula>AI29</formula>
    </cfRule>
  </conditionalFormatting>
  <conditionalFormatting sqref="AJ30">
    <cfRule type="expression" dxfId="3" priority="723">
      <formula>AND(AJ30&gt;0,AJ30&lt;10)</formula>
    </cfRule>
    <cfRule type="cellIs" dxfId="1" priority="724" operator="greaterThan">
      <formula>AI30</formula>
    </cfRule>
  </conditionalFormatting>
  <conditionalFormatting sqref="AJ31">
    <cfRule type="cellIs" dxfId="1" priority="729" operator="greaterThan">
      <formula>AI31</formula>
    </cfRule>
  </conditionalFormatting>
  <conditionalFormatting sqref="AJ32">
    <cfRule type="cellIs" dxfId="1" priority="734" operator="greaterThan">
      <formula>AI32</formula>
    </cfRule>
  </conditionalFormatting>
  <conditionalFormatting sqref="AJ33">
    <cfRule type="expression" dxfId="3" priority="739">
      <formula>AND(AJ33&gt;0,AJ33&lt;10)</formula>
    </cfRule>
    <cfRule type="cellIs" dxfId="1" priority="740" operator="greaterThan">
      <formula>AI33</formula>
    </cfRule>
  </conditionalFormatting>
  <conditionalFormatting sqref="AJ34">
    <cfRule type="cellIs" dxfId="1" priority="745" operator="greaterThan">
      <formula>AI34</formula>
    </cfRule>
  </conditionalFormatting>
  <conditionalFormatting sqref="AJ36">
    <cfRule type="cellIs" dxfId="1" priority="750" operator="greaterThan">
      <formula>AI36</formula>
    </cfRule>
  </conditionalFormatting>
  <conditionalFormatting sqref="AJ37">
    <cfRule type="cellIs" dxfId="1" priority="755" operator="greaterThan">
      <formula>AI37</formula>
    </cfRule>
  </conditionalFormatting>
  <conditionalFormatting sqref="AJ42">
    <cfRule type="cellIs" dxfId="1" priority="760" operator="greaterThan">
      <formula>AI42</formula>
    </cfRule>
  </conditionalFormatting>
  <conditionalFormatting sqref="AJ45">
    <cfRule type="cellIs" dxfId="1" priority="765" operator="greaterThan">
      <formula>AI45</formula>
    </cfRule>
  </conditionalFormatting>
  <conditionalFormatting sqref="AJ46">
    <cfRule type="cellIs" dxfId="1" priority="770" operator="greaterThan">
      <formula>AI46</formula>
    </cfRule>
  </conditionalFormatting>
  <conditionalFormatting sqref="AJ7">
    <cfRule type="cellIs" dxfId="1" priority="661" operator="greaterThan">
      <formula>AI7</formula>
    </cfRule>
  </conditionalFormatting>
  <conditionalFormatting sqref="AK15">
    <cfRule type="cellIs" dxfId="4" priority="669" operator="lessThanOrEqual">
      <formula>H15</formula>
    </cfRule>
  </conditionalFormatting>
  <conditionalFormatting sqref="AK16">
    <cfRule type="cellIs" dxfId="4" priority="675" operator="lessThanOrEqual">
      <formula>H16</formula>
    </cfRule>
  </conditionalFormatting>
  <conditionalFormatting sqref="AK17">
    <cfRule type="cellIs" dxfId="4" priority="680" operator="lessThanOrEqual">
      <formula>H17</formula>
    </cfRule>
  </conditionalFormatting>
  <conditionalFormatting sqref="AK19">
    <cfRule type="cellIs" dxfId="4" priority="685" operator="lessThanOrEqual">
      <formula>H19</formula>
    </cfRule>
  </conditionalFormatting>
  <conditionalFormatting sqref="AK20">
    <cfRule type="cellIs" dxfId="4" priority="690" operator="lessThanOrEqual">
      <formula>H20</formula>
    </cfRule>
  </conditionalFormatting>
  <conditionalFormatting sqref="AK21">
    <cfRule type="cellIs" dxfId="4" priority="695" operator="lessThanOrEqual">
      <formula>H21</formula>
    </cfRule>
  </conditionalFormatting>
  <conditionalFormatting sqref="AK23">
    <cfRule type="cellIs" dxfId="4" priority="700" operator="lessThanOrEqual">
      <formula>H23</formula>
    </cfRule>
  </conditionalFormatting>
  <conditionalFormatting sqref="AK24">
    <cfRule type="cellIs" dxfId="4" priority="705" operator="lessThanOrEqual">
      <formula>H24</formula>
    </cfRule>
  </conditionalFormatting>
  <conditionalFormatting sqref="AK26">
    <cfRule type="cellIs" dxfId="4" priority="710" operator="lessThanOrEqual">
      <formula>H26</formula>
    </cfRule>
  </conditionalFormatting>
  <conditionalFormatting sqref="AK28">
    <cfRule type="cellIs" dxfId="4" priority="715" operator="lessThanOrEqual">
      <formula>H28</formula>
    </cfRule>
  </conditionalFormatting>
  <conditionalFormatting sqref="AK29">
    <cfRule type="cellIs" dxfId="4" priority="720" operator="lessThanOrEqual">
      <formula>H29</formula>
    </cfRule>
  </conditionalFormatting>
  <conditionalFormatting sqref="AK30">
    <cfRule type="cellIs" dxfId="4" priority="726" operator="lessThanOrEqual">
      <formula>H30</formula>
    </cfRule>
  </conditionalFormatting>
  <conditionalFormatting sqref="AK31">
    <cfRule type="cellIs" dxfId="4" priority="731" operator="lessThanOrEqual">
      <formula>H31</formula>
    </cfRule>
  </conditionalFormatting>
  <conditionalFormatting sqref="AK32">
    <cfRule type="cellIs" dxfId="4" priority="736" operator="lessThanOrEqual">
      <formula>H32</formula>
    </cfRule>
  </conditionalFormatting>
  <conditionalFormatting sqref="AK33">
    <cfRule type="cellIs" dxfId="4" priority="742" operator="lessThanOrEqual">
      <formula>H33</formula>
    </cfRule>
  </conditionalFormatting>
  <conditionalFormatting sqref="AK34">
    <cfRule type="cellIs" dxfId="4" priority="747" operator="lessThanOrEqual">
      <formula>H34</formula>
    </cfRule>
  </conditionalFormatting>
  <conditionalFormatting sqref="AK36">
    <cfRule type="cellIs" dxfId="4" priority="752" operator="lessThanOrEqual">
      <formula>H36</formula>
    </cfRule>
  </conditionalFormatting>
  <conditionalFormatting sqref="AK37">
    <cfRule type="cellIs" dxfId="4" priority="757" operator="lessThanOrEqual">
      <formula>H37</formula>
    </cfRule>
  </conditionalFormatting>
  <conditionalFormatting sqref="AK42">
    <cfRule type="cellIs" dxfId="4" priority="762" operator="lessThanOrEqual">
      <formula>H42</formula>
    </cfRule>
  </conditionalFormatting>
  <conditionalFormatting sqref="AK45">
    <cfRule type="cellIs" dxfId="4" priority="767" operator="lessThanOrEqual">
      <formula>H45</formula>
    </cfRule>
  </conditionalFormatting>
  <conditionalFormatting sqref="AK46">
    <cfRule type="cellIs" dxfId="4" priority="772" operator="lessThanOrEqual">
      <formula>H46</formula>
    </cfRule>
  </conditionalFormatting>
  <conditionalFormatting sqref="AK7">
    <cfRule type="cellIs" dxfId="4" priority="663" operator="lessThanOrEqual">
      <formula>H7</formula>
    </cfRule>
  </conditionalFormatting>
  <conditionalFormatting sqref="AL15">
    <cfRule type="cellIs" dxfId="4" priority="668" operator="lessThanOrEqual">
      <formula>I15</formula>
    </cfRule>
  </conditionalFormatting>
  <conditionalFormatting sqref="AL16">
    <cfRule type="cellIs" dxfId="4" priority="674" operator="lessThanOrEqual">
      <formula>I16</formula>
    </cfRule>
  </conditionalFormatting>
  <conditionalFormatting sqref="AL17">
    <cfRule type="cellIs" dxfId="4" priority="679" operator="lessThanOrEqual">
      <formula>I17</formula>
    </cfRule>
  </conditionalFormatting>
  <conditionalFormatting sqref="AL19">
    <cfRule type="cellIs" dxfId="4" priority="684" operator="lessThanOrEqual">
      <formula>I19</formula>
    </cfRule>
  </conditionalFormatting>
  <conditionalFormatting sqref="AL20">
    <cfRule type="cellIs" dxfId="4" priority="689" operator="lessThanOrEqual">
      <formula>I20</formula>
    </cfRule>
  </conditionalFormatting>
  <conditionalFormatting sqref="AL21">
    <cfRule type="cellIs" dxfId="4" priority="694" operator="lessThanOrEqual">
      <formula>I21</formula>
    </cfRule>
  </conditionalFormatting>
  <conditionalFormatting sqref="AL23">
    <cfRule type="cellIs" dxfId="4" priority="699" operator="lessThanOrEqual">
      <formula>I23</formula>
    </cfRule>
  </conditionalFormatting>
  <conditionalFormatting sqref="AL24">
    <cfRule type="cellIs" dxfId="4" priority="704" operator="lessThanOrEqual">
      <formula>I24</formula>
    </cfRule>
  </conditionalFormatting>
  <conditionalFormatting sqref="AL26">
    <cfRule type="cellIs" dxfId="4" priority="709" operator="lessThanOrEqual">
      <formula>I26</formula>
    </cfRule>
  </conditionalFormatting>
  <conditionalFormatting sqref="AL28">
    <cfRule type="cellIs" dxfId="4" priority="714" operator="lessThanOrEqual">
      <formula>I28</formula>
    </cfRule>
  </conditionalFormatting>
  <conditionalFormatting sqref="AL29">
    <cfRule type="cellIs" dxfId="4" priority="719" operator="lessThanOrEqual">
      <formula>I29</formula>
    </cfRule>
  </conditionalFormatting>
  <conditionalFormatting sqref="AL30">
    <cfRule type="cellIs" dxfId="4" priority="725" operator="lessThanOrEqual">
      <formula>I30</formula>
    </cfRule>
  </conditionalFormatting>
  <conditionalFormatting sqref="AL31">
    <cfRule type="cellIs" dxfId="4" priority="730" operator="lessThanOrEqual">
      <formula>I31</formula>
    </cfRule>
  </conditionalFormatting>
  <conditionalFormatting sqref="AL32">
    <cfRule type="cellIs" dxfId="4" priority="735" operator="lessThanOrEqual">
      <formula>I32</formula>
    </cfRule>
  </conditionalFormatting>
  <conditionalFormatting sqref="AL33">
    <cfRule type="cellIs" dxfId="4" priority="741" operator="lessThanOrEqual">
      <formula>I33</formula>
    </cfRule>
  </conditionalFormatting>
  <conditionalFormatting sqref="AL34">
    <cfRule type="cellIs" dxfId="4" priority="746" operator="lessThanOrEqual">
      <formula>I34</formula>
    </cfRule>
  </conditionalFormatting>
  <conditionalFormatting sqref="AL36">
    <cfRule type="cellIs" dxfId="4" priority="751" operator="lessThanOrEqual">
      <formula>I36</formula>
    </cfRule>
  </conditionalFormatting>
  <conditionalFormatting sqref="AL37">
    <cfRule type="cellIs" dxfId="4" priority="756" operator="lessThanOrEqual">
      <formula>I37</formula>
    </cfRule>
  </conditionalFormatting>
  <conditionalFormatting sqref="AL42">
    <cfRule type="cellIs" dxfId="4" priority="761" operator="lessThanOrEqual">
      <formula>I42</formula>
    </cfRule>
  </conditionalFormatting>
  <conditionalFormatting sqref="AL45">
    <cfRule type="cellIs" dxfId="4" priority="766" operator="lessThanOrEqual">
      <formula>I45</formula>
    </cfRule>
  </conditionalFormatting>
  <conditionalFormatting sqref="AL46">
    <cfRule type="cellIs" dxfId="4" priority="771" operator="lessThanOrEqual">
      <formula>I46</formula>
    </cfRule>
  </conditionalFormatting>
  <conditionalFormatting sqref="AL7">
    <cfRule type="cellIs" dxfId="4" priority="662" operator="lessThanOrEqual">
      <formula>I7</formula>
    </cfRule>
  </conditionalFormatting>
  <conditionalFormatting sqref="AN12">
    <cfRule type="cellIs" dxfId="1" priority="779" operator="equal">
      <formula>0</formula>
    </cfRule>
    <cfRule type="cellIs" dxfId="2" priority="780" operator="lessThan">
      <formula>G12</formula>
    </cfRule>
  </conditionalFormatting>
  <conditionalFormatting sqref="AN13">
    <cfRule type="cellIs" dxfId="1" priority="785" operator="equal">
      <formula>0</formula>
    </cfRule>
    <cfRule type="cellIs" dxfId="2" priority="786" operator="lessThan">
      <formula>G13</formula>
    </cfRule>
  </conditionalFormatting>
  <conditionalFormatting sqref="AN14">
    <cfRule type="cellIs" dxfId="1" priority="791" operator="equal">
      <formula>0</formula>
    </cfRule>
    <cfRule type="cellIs" dxfId="2" priority="792" operator="lessThan">
      <formula>G14</formula>
    </cfRule>
  </conditionalFormatting>
  <conditionalFormatting sqref="AN15">
    <cfRule type="cellIs" dxfId="1" priority="797" operator="equal">
      <formula>0</formula>
    </cfRule>
    <cfRule type="cellIs" dxfId="2" priority="798" operator="lessThan">
      <formula>G15</formula>
    </cfRule>
  </conditionalFormatting>
  <conditionalFormatting sqref="AN16">
    <cfRule type="cellIs" dxfId="1" priority="803" operator="equal">
      <formula>0</formula>
    </cfRule>
    <cfRule type="cellIs" dxfId="2" priority="804" operator="lessThan">
      <formula>G16</formula>
    </cfRule>
  </conditionalFormatting>
  <conditionalFormatting sqref="AN21">
    <cfRule type="cellIs" dxfId="1" priority="809" operator="equal">
      <formula>0</formula>
    </cfRule>
    <cfRule type="cellIs" dxfId="2" priority="810" operator="lessThan">
      <formula>G21</formula>
    </cfRule>
  </conditionalFormatting>
  <conditionalFormatting sqref="AN26">
    <cfRule type="cellIs" dxfId="1" priority="815" operator="equal">
      <formula>0</formula>
    </cfRule>
    <cfRule type="cellIs" dxfId="2" priority="816" operator="lessThan">
      <formula>G26</formula>
    </cfRule>
  </conditionalFormatting>
  <conditionalFormatting sqref="AN28">
    <cfRule type="cellIs" dxfId="1" priority="821" operator="equal">
      <formula>0</formula>
    </cfRule>
    <cfRule type="cellIs" dxfId="2" priority="822" operator="lessThan">
      <formula>G28</formula>
    </cfRule>
  </conditionalFormatting>
  <conditionalFormatting sqref="AN29">
    <cfRule type="cellIs" dxfId="1" priority="827" operator="equal">
      <formula>0</formula>
    </cfRule>
    <cfRule type="cellIs" dxfId="2" priority="828" operator="lessThan">
      <formula>G29</formula>
    </cfRule>
  </conditionalFormatting>
  <conditionalFormatting sqref="AN34">
    <cfRule type="cellIs" dxfId="1" priority="833" operator="equal">
      <formula>0</formula>
    </cfRule>
    <cfRule type="cellIs" dxfId="2" priority="834" operator="lessThan">
      <formula>G34</formula>
    </cfRule>
  </conditionalFormatting>
  <conditionalFormatting sqref="AN36">
    <cfRule type="cellIs" dxfId="1" priority="839" operator="equal">
      <formula>0</formula>
    </cfRule>
    <cfRule type="cellIs" dxfId="2" priority="840" operator="lessThan">
      <formula>G36</formula>
    </cfRule>
  </conditionalFormatting>
  <conditionalFormatting sqref="AN37">
    <cfRule type="cellIs" dxfId="1" priority="845" operator="equal">
      <formula>0</formula>
    </cfRule>
    <cfRule type="cellIs" dxfId="2" priority="846" operator="lessThan">
      <formula>G37</formula>
    </cfRule>
  </conditionalFormatting>
  <conditionalFormatting sqref="AN40">
    <cfRule type="cellIs" dxfId="1" priority="851" operator="equal">
      <formula>0</formula>
    </cfRule>
    <cfRule type="cellIs" dxfId="2" priority="852" operator="lessThan">
      <formula>G40</formula>
    </cfRule>
  </conditionalFormatting>
  <conditionalFormatting sqref="AN42">
    <cfRule type="cellIs" dxfId="1" priority="857" operator="equal">
      <formula>0</formula>
    </cfRule>
    <cfRule type="cellIs" dxfId="2" priority="858" operator="lessThan">
      <formula>G42</formula>
    </cfRule>
  </conditionalFormatting>
  <conditionalFormatting sqref="AN48">
    <cfRule type="cellIs" dxfId="1" priority="863" operator="equal">
      <formula>0</formula>
    </cfRule>
    <cfRule type="cellIs" dxfId="2" priority="864" operator="lessThan">
      <formula>G48</formula>
    </cfRule>
  </conditionalFormatting>
  <conditionalFormatting sqref="AN7">
    <cfRule type="cellIs" dxfId="1" priority="773" operator="equal">
      <formula>0</formula>
    </cfRule>
    <cfRule type="cellIs" dxfId="2" priority="774" operator="lessThan">
      <formula>G7</formula>
    </cfRule>
  </conditionalFormatting>
  <conditionalFormatting sqref="AO12">
    <cfRule type="expression" dxfId="3" priority="781">
      <formula>AND(AO12&gt;0,AO12&lt;2000)</formula>
    </cfRule>
    <cfRule type="cellIs" dxfId="1" priority="782" operator="greaterThan">
      <formula>AN12</formula>
    </cfRule>
  </conditionalFormatting>
  <conditionalFormatting sqref="AO13">
    <cfRule type="expression" dxfId="3" priority="787">
      <formula>AND(AO13&gt;0,AO13&lt;5)</formula>
    </cfRule>
    <cfRule type="cellIs" dxfId="1" priority="788" operator="greaterThan">
      <formula>AN13</formula>
    </cfRule>
  </conditionalFormatting>
  <conditionalFormatting sqref="AO14">
    <cfRule type="expression" dxfId="3" priority="793">
      <formula>AND(AO14&gt;0,AO14&lt;50)</formula>
    </cfRule>
    <cfRule type="cellIs" dxfId="1" priority="794" operator="greaterThan">
      <formula>AN14</formula>
    </cfRule>
  </conditionalFormatting>
  <conditionalFormatting sqref="AO15">
    <cfRule type="expression" dxfId="3" priority="799">
      <formula>AND(AO15&gt;0,AO15&lt;50)</formula>
    </cfRule>
    <cfRule type="cellIs" dxfId="1" priority="800" operator="greaterThan">
      <formula>AN15</formula>
    </cfRule>
  </conditionalFormatting>
  <conditionalFormatting sqref="AO16">
    <cfRule type="expression" dxfId="3" priority="805">
      <formula>AND(AO16&gt;0,AO16&lt;50)</formula>
    </cfRule>
    <cfRule type="cellIs" dxfId="1" priority="806" operator="greaterThan">
      <formula>AN16</formula>
    </cfRule>
  </conditionalFormatting>
  <conditionalFormatting sqref="AO21">
    <cfRule type="expression" dxfId="3" priority="811">
      <formula>AND(AO21&gt;0,AO21&lt;10)</formula>
    </cfRule>
    <cfRule type="cellIs" dxfId="1" priority="812" operator="greaterThan">
      <formula>AN21</formula>
    </cfRule>
  </conditionalFormatting>
  <conditionalFormatting sqref="AO26">
    <cfRule type="expression" dxfId="3" priority="817">
      <formula>AND(AO26&gt;0,AO26&lt;200)</formula>
    </cfRule>
    <cfRule type="cellIs" dxfId="1" priority="818" operator="greaterThan">
      <formula>AN26</formula>
    </cfRule>
  </conditionalFormatting>
  <conditionalFormatting sqref="AO28">
    <cfRule type="expression" dxfId="3" priority="823">
      <formula>AND(AO28&gt;0,AO28&lt;100)</formula>
    </cfRule>
    <cfRule type="cellIs" dxfId="1" priority="824" operator="greaterThan">
      <formula>AN28</formula>
    </cfRule>
  </conditionalFormatting>
  <conditionalFormatting sqref="AO29">
    <cfRule type="expression" dxfId="3" priority="829">
      <formula>AND(AO29&gt;0,AO29&lt;100)</formula>
    </cfRule>
    <cfRule type="cellIs" dxfId="1" priority="830" operator="greaterThan">
      <formula>AN29</formula>
    </cfRule>
  </conditionalFormatting>
  <conditionalFormatting sqref="AO34">
    <cfRule type="expression" dxfId="3" priority="835">
      <formula>AND(AO34&gt;0,AO34&lt;100)</formula>
    </cfRule>
    <cfRule type="cellIs" dxfId="1" priority="836" operator="greaterThan">
      <formula>AN34</formula>
    </cfRule>
  </conditionalFormatting>
  <conditionalFormatting sqref="AO36">
    <cfRule type="expression" dxfId="3" priority="841">
      <formula>AND(AO36&gt;0,AO36&lt;100)</formula>
    </cfRule>
    <cfRule type="cellIs" dxfId="1" priority="842" operator="greaterThan">
      <formula>AN36</formula>
    </cfRule>
  </conditionalFormatting>
  <conditionalFormatting sqref="AO37">
    <cfRule type="expression" dxfId="3" priority="847">
      <formula>AND(AO37&gt;0,AO37&lt;5000)</formula>
    </cfRule>
    <cfRule type="cellIs" dxfId="1" priority="848" operator="greaterThan">
      <formula>AN37</formula>
    </cfRule>
  </conditionalFormatting>
  <conditionalFormatting sqref="AO40">
    <cfRule type="expression" dxfId="3" priority="853">
      <formula>AND(AO40&gt;0,AO40&lt;5)</formula>
    </cfRule>
    <cfRule type="cellIs" dxfId="1" priority="854" operator="greaterThan">
      <formula>AN40</formula>
    </cfRule>
  </conditionalFormatting>
  <conditionalFormatting sqref="AO42">
    <cfRule type="expression" dxfId="3" priority="859">
      <formula>AND(AO42&gt;0,AO42&lt;100)</formula>
    </cfRule>
    <cfRule type="cellIs" dxfId="1" priority="860" operator="greaterThan">
      <formula>AN42</formula>
    </cfRule>
  </conditionalFormatting>
  <conditionalFormatting sqref="AO48">
    <cfRule type="expression" dxfId="3" priority="865">
      <formula>AND(AO48&gt;0,AO48&lt;1000)</formula>
    </cfRule>
    <cfRule type="cellIs" dxfId="1" priority="866" operator="greaterThan">
      <formula>AN48</formula>
    </cfRule>
  </conditionalFormatting>
  <conditionalFormatting sqref="AO7">
    <cfRule type="expression" dxfId="3" priority="775">
      <formula>AND(AO7&gt;0,AO7&lt;125)</formula>
    </cfRule>
    <cfRule type="cellIs" dxfId="1" priority="776" operator="greaterThan">
      <formula>AN7</formula>
    </cfRule>
  </conditionalFormatting>
  <conditionalFormatting sqref="AP12">
    <cfRule type="cellIs" dxfId="4" priority="784" operator="lessThanOrEqual">
      <formula>H12</formula>
    </cfRule>
  </conditionalFormatting>
  <conditionalFormatting sqref="AP13">
    <cfRule type="cellIs" dxfId="4" priority="790" operator="lessThanOrEqual">
      <formula>H13</formula>
    </cfRule>
  </conditionalFormatting>
  <conditionalFormatting sqref="AP14">
    <cfRule type="cellIs" dxfId="4" priority="796" operator="lessThanOrEqual">
      <formula>H14</formula>
    </cfRule>
  </conditionalFormatting>
  <conditionalFormatting sqref="AP15">
    <cfRule type="cellIs" dxfId="4" priority="802" operator="lessThanOrEqual">
      <formula>H15</formula>
    </cfRule>
  </conditionalFormatting>
  <conditionalFormatting sqref="AP16">
    <cfRule type="cellIs" dxfId="4" priority="808" operator="lessThanOrEqual">
      <formula>H16</formula>
    </cfRule>
  </conditionalFormatting>
  <conditionalFormatting sqref="AP21">
    <cfRule type="cellIs" dxfId="4" priority="814" operator="lessThanOrEqual">
      <formula>H21</formula>
    </cfRule>
  </conditionalFormatting>
  <conditionalFormatting sqref="AP26">
    <cfRule type="cellIs" dxfId="4" priority="820" operator="lessThanOrEqual">
      <formula>H26</formula>
    </cfRule>
  </conditionalFormatting>
  <conditionalFormatting sqref="AP28">
    <cfRule type="cellIs" dxfId="4" priority="826" operator="lessThanOrEqual">
      <formula>H28</formula>
    </cfRule>
  </conditionalFormatting>
  <conditionalFormatting sqref="AP29">
    <cfRule type="cellIs" dxfId="4" priority="832" operator="lessThanOrEqual">
      <formula>H29</formula>
    </cfRule>
  </conditionalFormatting>
  <conditionalFormatting sqref="AP34">
    <cfRule type="cellIs" dxfId="4" priority="838" operator="lessThanOrEqual">
      <formula>H34</formula>
    </cfRule>
  </conditionalFormatting>
  <conditionalFormatting sqref="AP36">
    <cfRule type="cellIs" dxfId="4" priority="844" operator="lessThanOrEqual">
      <formula>H36</formula>
    </cfRule>
  </conditionalFormatting>
  <conditionalFormatting sqref="AP37">
    <cfRule type="cellIs" dxfId="4" priority="850" operator="lessThanOrEqual">
      <formula>H37</formula>
    </cfRule>
  </conditionalFormatting>
  <conditionalFormatting sqref="AP40">
    <cfRule type="cellIs" dxfId="4" priority="856" operator="lessThanOrEqual">
      <formula>H40</formula>
    </cfRule>
  </conditionalFormatting>
  <conditionalFormatting sqref="AP42">
    <cfRule type="cellIs" dxfId="4" priority="862" operator="lessThanOrEqual">
      <formula>H42</formula>
    </cfRule>
  </conditionalFormatting>
  <conditionalFormatting sqref="AP48">
    <cfRule type="cellIs" dxfId="4" priority="868" operator="lessThanOrEqual">
      <formula>H48</formula>
    </cfRule>
  </conditionalFormatting>
  <conditionalFormatting sqref="AP7">
    <cfRule type="cellIs" dxfId="4" priority="778" operator="lessThanOrEqual">
      <formula>H7</formula>
    </cfRule>
  </conditionalFormatting>
  <conditionalFormatting sqref="AQ12">
    <cfRule type="cellIs" dxfId="4" priority="783" operator="lessThanOrEqual">
      <formula>I12</formula>
    </cfRule>
  </conditionalFormatting>
  <conditionalFormatting sqref="AQ13">
    <cfRule type="cellIs" dxfId="4" priority="789" operator="lessThanOrEqual">
      <formula>I13</formula>
    </cfRule>
  </conditionalFormatting>
  <conditionalFormatting sqref="AQ14">
    <cfRule type="cellIs" dxfId="4" priority="795" operator="lessThanOrEqual">
      <formula>I14</formula>
    </cfRule>
  </conditionalFormatting>
  <conditionalFormatting sqref="AQ15">
    <cfRule type="cellIs" dxfId="4" priority="801" operator="lessThanOrEqual">
      <formula>I15</formula>
    </cfRule>
  </conditionalFormatting>
  <conditionalFormatting sqref="AQ16">
    <cfRule type="cellIs" dxfId="4" priority="807" operator="lessThanOrEqual">
      <formula>I16</formula>
    </cfRule>
  </conditionalFormatting>
  <conditionalFormatting sqref="AQ21">
    <cfRule type="cellIs" dxfId="4" priority="813" operator="lessThanOrEqual">
      <formula>I21</formula>
    </cfRule>
  </conditionalFormatting>
  <conditionalFormatting sqref="AQ26">
    <cfRule type="cellIs" dxfId="4" priority="819" operator="lessThanOrEqual">
      <formula>I26</formula>
    </cfRule>
  </conditionalFormatting>
  <conditionalFormatting sqref="AQ28">
    <cfRule type="cellIs" dxfId="4" priority="825" operator="lessThanOrEqual">
      <formula>I28</formula>
    </cfRule>
  </conditionalFormatting>
  <conditionalFormatting sqref="AQ29">
    <cfRule type="cellIs" dxfId="4" priority="831" operator="lessThanOrEqual">
      <formula>I29</formula>
    </cfRule>
  </conditionalFormatting>
  <conditionalFormatting sqref="AQ34">
    <cfRule type="cellIs" dxfId="4" priority="837" operator="lessThanOrEqual">
      <formula>I34</formula>
    </cfRule>
  </conditionalFormatting>
  <conditionalFormatting sqref="AQ36">
    <cfRule type="cellIs" dxfId="4" priority="843" operator="lessThanOrEqual">
      <formula>I36</formula>
    </cfRule>
  </conditionalFormatting>
  <conditionalFormatting sqref="AQ37">
    <cfRule type="cellIs" dxfId="4" priority="849" operator="lessThanOrEqual">
      <formula>I37</formula>
    </cfRule>
  </conditionalFormatting>
  <conditionalFormatting sqref="AQ40">
    <cfRule type="cellIs" dxfId="4" priority="855" operator="lessThanOrEqual">
      <formula>I40</formula>
    </cfRule>
  </conditionalFormatting>
  <conditionalFormatting sqref="AQ42">
    <cfRule type="cellIs" dxfId="4" priority="861" operator="lessThanOrEqual">
      <formula>I42</formula>
    </cfRule>
  </conditionalFormatting>
  <conditionalFormatting sqref="AQ48">
    <cfRule type="cellIs" dxfId="4" priority="867" operator="lessThanOrEqual">
      <formula>I48</formula>
    </cfRule>
  </conditionalFormatting>
  <conditionalFormatting sqref="AQ7">
    <cfRule type="cellIs" dxfId="4" priority="777" operator="lessThanOrEqual">
      <formula>I7</formula>
    </cfRule>
  </conditionalFormatting>
  <conditionalFormatting sqref="AS12">
    <cfRule type="cellIs" dxfId="1" priority="869" operator="equal">
      <formula>0</formula>
    </cfRule>
    <cfRule type="cellIs" dxfId="2" priority="870" operator="lessThan">
      <formula>G12</formula>
    </cfRule>
  </conditionalFormatting>
  <conditionalFormatting sqref="AS21">
    <cfRule type="cellIs" dxfId="1" priority="875" operator="equal">
      <formula>0</formula>
    </cfRule>
    <cfRule type="cellIs" dxfId="2" priority="876" operator="lessThan">
      <formula>G21</formula>
    </cfRule>
  </conditionalFormatting>
  <conditionalFormatting sqref="AS26">
    <cfRule type="cellIs" dxfId="1" priority="880" operator="equal">
      <formula>0</formula>
    </cfRule>
    <cfRule type="cellIs" dxfId="2" priority="881" operator="lessThan">
      <formula>G26</formula>
    </cfRule>
  </conditionalFormatting>
  <conditionalFormatting sqref="AS28">
    <cfRule type="cellIs" dxfId="1" priority="886" operator="equal">
      <formula>0</formula>
    </cfRule>
    <cfRule type="cellIs" dxfId="2" priority="887" operator="lessThan">
      <formula>G28</formula>
    </cfRule>
  </conditionalFormatting>
  <conditionalFormatting sqref="AS29">
    <cfRule type="cellIs" dxfId="1" priority="892" operator="equal">
      <formula>0</formula>
    </cfRule>
    <cfRule type="cellIs" dxfId="2" priority="893" operator="lessThan">
      <formula>G29</formula>
    </cfRule>
  </conditionalFormatting>
  <conditionalFormatting sqref="AS30">
    <cfRule type="cellIs" dxfId="1" priority="898" operator="equal">
      <formula>0</formula>
    </cfRule>
    <cfRule type="cellIs" dxfId="2" priority="899" operator="lessThan">
      <formula>G30</formula>
    </cfRule>
  </conditionalFormatting>
  <conditionalFormatting sqref="AS32">
    <cfRule type="cellIs" dxfId="1" priority="904" operator="equal">
      <formula>0</formula>
    </cfRule>
    <cfRule type="cellIs" dxfId="2" priority="905" operator="lessThan">
      <formula>G32</formula>
    </cfRule>
  </conditionalFormatting>
  <conditionalFormatting sqref="AS33">
    <cfRule type="cellIs" dxfId="1" priority="910" operator="equal">
      <formula>0</formula>
    </cfRule>
    <cfRule type="cellIs" dxfId="2" priority="911" operator="lessThan">
      <formula>G33</formula>
    </cfRule>
  </conditionalFormatting>
  <conditionalFormatting sqref="AS34">
    <cfRule type="cellIs" dxfId="1" priority="916" operator="equal">
      <formula>0</formula>
    </cfRule>
    <cfRule type="cellIs" dxfId="2" priority="917" operator="lessThan">
      <formula>G34</formula>
    </cfRule>
  </conditionalFormatting>
  <conditionalFormatting sqref="AS36">
    <cfRule type="cellIs" dxfId="1" priority="922" operator="equal">
      <formula>0</formula>
    </cfRule>
    <cfRule type="cellIs" dxfId="2" priority="923" operator="lessThan">
      <formula>G36</formula>
    </cfRule>
  </conditionalFormatting>
  <conditionalFormatting sqref="AS37">
    <cfRule type="cellIs" dxfId="1" priority="928" operator="equal">
      <formula>0</formula>
    </cfRule>
    <cfRule type="cellIs" dxfId="2" priority="929" operator="lessThan">
      <formula>G37</formula>
    </cfRule>
  </conditionalFormatting>
  <conditionalFormatting sqref="AS42">
    <cfRule type="cellIs" dxfId="1" priority="934" operator="equal">
      <formula>0</formula>
    </cfRule>
    <cfRule type="cellIs" dxfId="2" priority="935" operator="lessThan">
      <formula>G42</formula>
    </cfRule>
  </conditionalFormatting>
  <conditionalFormatting sqref="AT12">
    <cfRule type="expression" dxfId="3" priority="871">
      <formula>AND(AT12&gt;0,AT12&lt;100)</formula>
    </cfRule>
    <cfRule type="cellIs" dxfId="1" priority="872" operator="greaterThan">
      <formula>AS12</formula>
    </cfRule>
  </conditionalFormatting>
  <conditionalFormatting sqref="AT21">
    <cfRule type="cellIs" dxfId="1" priority="877" operator="greaterThan">
      <formula>AS21</formula>
    </cfRule>
  </conditionalFormatting>
  <conditionalFormatting sqref="AT26">
    <cfRule type="expression" dxfId="3" priority="882">
      <formula>AND(AT26&gt;0,AT26&lt;20)</formula>
    </cfRule>
    <cfRule type="cellIs" dxfId="1" priority="883" operator="greaterThan">
      <formula>AS26</formula>
    </cfRule>
  </conditionalFormatting>
  <conditionalFormatting sqref="AT28">
    <cfRule type="expression" dxfId="3" priority="888">
      <formula>AND(AT28&gt;0,AT28&lt;100)</formula>
    </cfRule>
    <cfRule type="cellIs" dxfId="1" priority="889" operator="greaterThan">
      <formula>AS28</formula>
    </cfRule>
  </conditionalFormatting>
  <conditionalFormatting sqref="AT29">
    <cfRule type="expression" dxfId="3" priority="894">
      <formula>AND(AT29&gt;0,AT29&lt;100)</formula>
    </cfRule>
    <cfRule type="cellIs" dxfId="1" priority="895" operator="greaterThan">
      <formula>AS29</formula>
    </cfRule>
  </conditionalFormatting>
  <conditionalFormatting sqref="AT30">
    <cfRule type="expression" dxfId="3" priority="900">
      <formula>AND(AT30&gt;0,AT30&lt;100)</formula>
    </cfRule>
    <cfRule type="cellIs" dxfId="1" priority="901" operator="greaterThan">
      <formula>AS30</formula>
    </cfRule>
  </conditionalFormatting>
  <conditionalFormatting sqref="AT32">
    <cfRule type="expression" dxfId="3" priority="906">
      <formula>AND(AT32&gt;0,AT32&lt;100)</formula>
    </cfRule>
    <cfRule type="cellIs" dxfId="1" priority="907" operator="greaterThan">
      <formula>AS32</formula>
    </cfRule>
  </conditionalFormatting>
  <conditionalFormatting sqref="AT33">
    <cfRule type="expression" dxfId="3" priority="912">
      <formula>AND(AT33&gt;0,AT33&lt;100)</formula>
    </cfRule>
    <cfRule type="cellIs" dxfId="1" priority="913" operator="greaterThan">
      <formula>AS33</formula>
    </cfRule>
  </conditionalFormatting>
  <conditionalFormatting sqref="AT34">
    <cfRule type="expression" dxfId="3" priority="918">
      <formula>AND(AT34&gt;0,AT34&lt;100)</formula>
    </cfRule>
    <cfRule type="cellIs" dxfId="1" priority="919" operator="greaterThan">
      <formula>AS34</formula>
    </cfRule>
  </conditionalFormatting>
  <conditionalFormatting sqref="AT36">
    <cfRule type="expression" dxfId="3" priority="924">
      <formula>AND(AT36&gt;0,AT36&lt;100)</formula>
    </cfRule>
    <cfRule type="cellIs" dxfId="1" priority="925" operator="greaterThan">
      <formula>AS36</formula>
    </cfRule>
  </conditionalFormatting>
  <conditionalFormatting sqref="AT37">
    <cfRule type="expression" dxfId="3" priority="930">
      <formula>AND(AT37&gt;0,AT37&lt;100)</formula>
    </cfRule>
    <cfRule type="cellIs" dxfId="1" priority="931" operator="greaterThan">
      <formula>AS37</formula>
    </cfRule>
  </conditionalFormatting>
  <conditionalFormatting sqref="AT42">
    <cfRule type="expression" dxfId="3" priority="936">
      <formula>AND(AT42&gt;0,AT42&lt;10)</formula>
    </cfRule>
    <cfRule type="cellIs" dxfId="1" priority="937" operator="greaterThan">
      <formula>AS42</formula>
    </cfRule>
  </conditionalFormatting>
  <conditionalFormatting sqref="AU12">
    <cfRule type="cellIs" dxfId="4" priority="874" operator="lessThanOrEqual">
      <formula>H12</formula>
    </cfRule>
  </conditionalFormatting>
  <conditionalFormatting sqref="AU21">
    <cfRule type="cellIs" dxfId="4" priority="879" operator="lessThanOrEqual">
      <formula>H21</formula>
    </cfRule>
  </conditionalFormatting>
  <conditionalFormatting sqref="AU26">
    <cfRule type="cellIs" dxfId="4" priority="885" operator="lessThanOrEqual">
      <formula>H26</formula>
    </cfRule>
  </conditionalFormatting>
  <conditionalFormatting sqref="AU28">
    <cfRule type="cellIs" dxfId="4" priority="891" operator="lessThanOrEqual">
      <formula>H28</formula>
    </cfRule>
  </conditionalFormatting>
  <conditionalFormatting sqref="AU29">
    <cfRule type="cellIs" dxfId="4" priority="897" operator="lessThanOrEqual">
      <formula>H29</formula>
    </cfRule>
  </conditionalFormatting>
  <conditionalFormatting sqref="AU30">
    <cfRule type="cellIs" dxfId="4" priority="903" operator="lessThanOrEqual">
      <formula>H30</formula>
    </cfRule>
  </conditionalFormatting>
  <conditionalFormatting sqref="AU32">
    <cfRule type="cellIs" dxfId="4" priority="909" operator="lessThanOrEqual">
      <formula>H32</formula>
    </cfRule>
  </conditionalFormatting>
  <conditionalFormatting sqref="AU33">
    <cfRule type="cellIs" dxfId="4" priority="915" operator="lessThanOrEqual">
      <formula>H33</formula>
    </cfRule>
  </conditionalFormatting>
  <conditionalFormatting sqref="AU34">
    <cfRule type="cellIs" dxfId="4" priority="921" operator="lessThanOrEqual">
      <formula>H34</formula>
    </cfRule>
  </conditionalFormatting>
  <conditionalFormatting sqref="AU36">
    <cfRule type="cellIs" dxfId="4" priority="927" operator="lessThanOrEqual">
      <formula>H36</formula>
    </cfRule>
  </conditionalFormatting>
  <conditionalFormatting sqref="AU37">
    <cfRule type="cellIs" dxfId="4" priority="933" operator="lessThanOrEqual">
      <formula>H37</formula>
    </cfRule>
  </conditionalFormatting>
  <conditionalFormatting sqref="AU42">
    <cfRule type="cellIs" dxfId="4" priority="939" operator="lessThanOrEqual">
      <formula>H42</formula>
    </cfRule>
  </conditionalFormatting>
  <conditionalFormatting sqref="AV12">
    <cfRule type="cellIs" dxfId="4" priority="873" operator="lessThanOrEqual">
      <formula>I12</formula>
    </cfRule>
  </conditionalFormatting>
  <conditionalFormatting sqref="AV21">
    <cfRule type="cellIs" dxfId="4" priority="878" operator="lessThanOrEqual">
      <formula>I21</formula>
    </cfRule>
  </conditionalFormatting>
  <conditionalFormatting sqref="AV26">
    <cfRule type="cellIs" dxfId="4" priority="884" operator="lessThanOrEqual">
      <formula>I26</formula>
    </cfRule>
  </conditionalFormatting>
  <conditionalFormatting sqref="AV28">
    <cfRule type="cellIs" dxfId="4" priority="890" operator="lessThanOrEqual">
      <formula>I28</formula>
    </cfRule>
  </conditionalFormatting>
  <conditionalFormatting sqref="AV29">
    <cfRule type="cellIs" dxfId="4" priority="896" operator="lessThanOrEqual">
      <formula>I29</formula>
    </cfRule>
  </conditionalFormatting>
  <conditionalFormatting sqref="AV30">
    <cfRule type="cellIs" dxfId="4" priority="902" operator="lessThanOrEqual">
      <formula>I30</formula>
    </cfRule>
  </conditionalFormatting>
  <conditionalFormatting sqref="AV32">
    <cfRule type="cellIs" dxfId="4" priority="908" operator="lessThanOrEqual">
      <formula>I32</formula>
    </cfRule>
  </conditionalFormatting>
  <conditionalFormatting sqref="AV33">
    <cfRule type="cellIs" dxfId="4" priority="914" operator="lessThanOrEqual">
      <formula>I33</formula>
    </cfRule>
  </conditionalFormatting>
  <conditionalFormatting sqref="AV34">
    <cfRule type="cellIs" dxfId="4" priority="920" operator="lessThanOrEqual">
      <formula>I34</formula>
    </cfRule>
  </conditionalFormatting>
  <conditionalFormatting sqref="AV36">
    <cfRule type="cellIs" dxfId="4" priority="926" operator="lessThanOrEqual">
      <formula>I36</formula>
    </cfRule>
  </conditionalFormatting>
  <conditionalFormatting sqref="AV37">
    <cfRule type="cellIs" dxfId="4" priority="932" operator="lessThanOrEqual">
      <formula>I37</formula>
    </cfRule>
  </conditionalFormatting>
  <conditionalFormatting sqref="AV42">
    <cfRule type="cellIs" dxfId="4" priority="938" operator="lessThanOrEqual">
      <formula>I42</formula>
    </cfRule>
  </conditionalFormatting>
  <conditionalFormatting sqref="G10">
    <cfRule type="expression" dxfId="0" priority="13">
      <formula>AND(ISBLANK(F10)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11">
    <cfRule type="expression" dxfId="0" priority="17">
      <formula>AND(ISBLANK(F11)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12">
    <cfRule type="expression" dxfId="0" priority="21">
      <formula>AND(ISBLANK(F12)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13">
    <cfRule type="expression" dxfId="0" priority="25">
      <formula>AND(ISBLANK(F13)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14">
    <cfRule type="expression" dxfId="0" priority="29">
      <formula>AND(ISBLANK(F14)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3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3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15">
    <cfRule type="expression" dxfId="0" priority="33">
      <formula>AND(ISBLANK(F15)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3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3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16">
    <cfRule type="expression" dxfId="0" priority="37">
      <formula>AND(ISBLANK(F16)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3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4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17">
    <cfRule type="expression" dxfId="0" priority="41">
      <formula>AND(ISBLANK(F17)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4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4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4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18">
    <cfRule type="expression" dxfId="0" priority="45">
      <formula>AND(ISBLANK(F18)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4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4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4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19">
    <cfRule type="expression" dxfId="0" priority="49">
      <formula>AND(ISBLANK(F19)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5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5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5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20">
    <cfRule type="expression" dxfId="0" priority="53">
      <formula>AND(ISBLANK(F20)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5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5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5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21">
    <cfRule type="expression" dxfId="0" priority="57">
      <formula>AND(ISBLANK(F21)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5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5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6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22">
    <cfRule type="expression" dxfId="0" priority="61">
      <formula>AND(ISBLANK(F22)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6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6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6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23">
    <cfRule type="expression" dxfId="0" priority="65">
      <formula>AND(ISBLANK(F23)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6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6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6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24">
    <cfRule type="expression" dxfId="0" priority="69">
      <formula>AND(ISBLANK(F24)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7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7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7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25">
    <cfRule type="expression" dxfId="0" priority="73">
      <formula>AND(ISBLANK(F25)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7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7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7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26">
    <cfRule type="expression" dxfId="0" priority="77">
      <formula>AND(ISBLANK(F26)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7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7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8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27">
    <cfRule type="expression" dxfId="0" priority="81">
      <formula>AND(ISBLANK(F27)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8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8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8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28">
    <cfRule type="expression" dxfId="0" priority="85">
      <formula>AND(ISBLANK(F28)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8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8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8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29">
    <cfRule type="expression" dxfId="0" priority="89">
      <formula>AND(ISBLANK(F29)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9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9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9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30">
    <cfRule type="expression" dxfId="0" priority="93">
      <formula>AND(ISBLANK(F30)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9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9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9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31">
    <cfRule type="expression" dxfId="0" priority="97">
      <formula>AND(ISBLANK(F31)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9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9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0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32">
    <cfRule type="expression" dxfId="0" priority="101">
      <formula>AND(ISBLANK(F32)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0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0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0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33">
    <cfRule type="expression" dxfId="0" priority="105">
      <formula>AND(ISBLANK(F33)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0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0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0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34">
    <cfRule type="expression" dxfId="0" priority="109">
      <formula>AND(ISBLANK(F34)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1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1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1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35">
    <cfRule type="expression" dxfId="0" priority="113">
      <formula>AND(ISBLANK(F35)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1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1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1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36">
    <cfRule type="expression" dxfId="0" priority="117">
      <formula>AND(ISBLANK(F36)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1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1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2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37">
    <cfRule type="expression" dxfId="0" priority="121">
      <formula>AND(ISBLANK(F37)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2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2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2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38">
    <cfRule type="expression" dxfId="0" priority="125">
      <formula>AND(ISBLANK(F38)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2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2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2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39">
    <cfRule type="expression" dxfId="0" priority="129">
      <formula>AND(ISBLANK(F39)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3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3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3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40">
    <cfRule type="expression" dxfId="0" priority="133">
      <formula>AND(ISBLANK(F40)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3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3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3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41">
    <cfRule type="expression" dxfId="0" priority="137">
      <formula>AND(ISBLANK(F41)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3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3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4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42">
    <cfRule type="expression" dxfId="0" priority="141">
      <formula>AND(ISBLANK(F42)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4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4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4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43">
    <cfRule type="expression" dxfId="0" priority="145">
      <formula>AND(ISBLANK(F43)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4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4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4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44">
    <cfRule type="expression" dxfId="0" priority="149">
      <formula>AND(ISBLANK(F44)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5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5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5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45">
    <cfRule type="expression" dxfId="0" priority="153">
      <formula>AND(ISBLANK(F45)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5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5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5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46">
    <cfRule type="expression" dxfId="0" priority="157">
      <formula>AND(ISBLANK(F46)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5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5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6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47">
    <cfRule type="expression" dxfId="0" priority="161">
      <formula>AND(ISBLANK(F47)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6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6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6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48">
    <cfRule type="expression" dxfId="0" priority="165">
      <formula>AND(ISBLANK(F48)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6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6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6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7">
    <cfRule type="expression" dxfId="0" priority="1">
      <formula>AND(ISBLANK(F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8">
    <cfRule type="expression" dxfId="0" priority="5">
      <formula>AND(ISBLANK(F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9">
    <cfRule type="expression" dxfId="0" priority="9">
      <formula>AND(ISBLANK(F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O10">
    <cfRule type="cellIs" dxfId="1" priority="184" operator="equal">
      <formula>0</formula>
    </cfRule>
    <cfRule type="cellIs" dxfId="2" priority="185" operator="lessThan">
      <formula>G10</formula>
    </cfRule>
  </conditionalFormatting>
  <conditionalFormatting sqref="O11">
    <cfRule type="cellIs" dxfId="1" priority="190" operator="equal">
      <formula>0</formula>
    </cfRule>
    <cfRule type="cellIs" dxfId="2" priority="191" operator="lessThan">
      <formula>G11</formula>
    </cfRule>
  </conditionalFormatting>
  <conditionalFormatting sqref="O12">
    <cfRule type="cellIs" dxfId="1" priority="195" operator="equal">
      <formula>0</formula>
    </cfRule>
    <cfRule type="cellIs" dxfId="2" priority="196" operator="lessThan">
      <formula>G12</formula>
    </cfRule>
  </conditionalFormatting>
  <conditionalFormatting sqref="O13">
    <cfRule type="cellIs" dxfId="1" priority="200" operator="equal">
      <formula>0</formula>
    </cfRule>
    <cfRule type="cellIs" dxfId="2" priority="201" operator="lessThan">
      <formula>G13</formula>
    </cfRule>
  </conditionalFormatting>
  <conditionalFormatting sqref="O14">
    <cfRule type="cellIs" dxfId="1" priority="205" operator="equal">
      <formula>0</formula>
    </cfRule>
    <cfRule type="cellIs" dxfId="2" priority="206" operator="lessThan">
      <formula>G14</formula>
    </cfRule>
  </conditionalFormatting>
  <conditionalFormatting sqref="O15">
    <cfRule type="cellIs" dxfId="1" priority="210" operator="equal">
      <formula>0</formula>
    </cfRule>
    <cfRule type="cellIs" dxfId="2" priority="211" operator="lessThan">
      <formula>G15</formula>
    </cfRule>
  </conditionalFormatting>
  <conditionalFormatting sqref="O16">
    <cfRule type="cellIs" dxfId="1" priority="215" operator="equal">
      <formula>0</formula>
    </cfRule>
    <cfRule type="cellIs" dxfId="2" priority="216" operator="lessThan">
      <formula>G16</formula>
    </cfRule>
  </conditionalFormatting>
  <conditionalFormatting sqref="O17">
    <cfRule type="cellIs" dxfId="1" priority="220" operator="equal">
      <formula>0</formula>
    </cfRule>
    <cfRule type="cellIs" dxfId="2" priority="221" operator="lessThan">
      <formula>G17</formula>
    </cfRule>
  </conditionalFormatting>
  <conditionalFormatting sqref="O18">
    <cfRule type="cellIs" dxfId="1" priority="225" operator="equal">
      <formula>0</formula>
    </cfRule>
    <cfRule type="cellIs" dxfId="2" priority="226" operator="lessThan">
      <formula>G18</formula>
    </cfRule>
  </conditionalFormatting>
  <conditionalFormatting sqref="O19">
    <cfRule type="cellIs" dxfId="1" priority="230" operator="equal">
      <formula>0</formula>
    </cfRule>
    <cfRule type="cellIs" dxfId="2" priority="231" operator="lessThan">
      <formula>G19</formula>
    </cfRule>
  </conditionalFormatting>
  <conditionalFormatting sqref="O20">
    <cfRule type="cellIs" dxfId="1" priority="235" operator="equal">
      <formula>0</formula>
    </cfRule>
    <cfRule type="cellIs" dxfId="2" priority="236" operator="lessThan">
      <formula>G20</formula>
    </cfRule>
  </conditionalFormatting>
  <conditionalFormatting sqref="O21">
    <cfRule type="cellIs" dxfId="1" priority="240" operator="equal">
      <formula>0</formula>
    </cfRule>
    <cfRule type="cellIs" dxfId="2" priority="241" operator="lessThan">
      <formula>G21</formula>
    </cfRule>
  </conditionalFormatting>
  <conditionalFormatting sqref="O22">
    <cfRule type="cellIs" dxfId="1" priority="245" operator="equal">
      <formula>0</formula>
    </cfRule>
    <cfRule type="cellIs" dxfId="2" priority="246" operator="lessThan">
      <formula>G22</formula>
    </cfRule>
  </conditionalFormatting>
  <conditionalFormatting sqref="O23">
    <cfRule type="cellIs" dxfId="1" priority="250" operator="equal">
      <formula>0</formula>
    </cfRule>
    <cfRule type="cellIs" dxfId="2" priority="251" operator="lessThan">
      <formula>G23</formula>
    </cfRule>
  </conditionalFormatting>
  <conditionalFormatting sqref="O24">
    <cfRule type="cellIs" dxfId="1" priority="255" operator="equal">
      <formula>0</formula>
    </cfRule>
    <cfRule type="cellIs" dxfId="2" priority="256" operator="lessThan">
      <formula>G24</formula>
    </cfRule>
  </conditionalFormatting>
  <conditionalFormatting sqref="O26">
    <cfRule type="cellIs" dxfId="1" priority="260" operator="equal">
      <formula>0</formula>
    </cfRule>
    <cfRule type="cellIs" dxfId="2" priority="261" operator="lessThan">
      <formula>G26</formula>
    </cfRule>
  </conditionalFormatting>
  <conditionalFormatting sqref="O27">
    <cfRule type="cellIs" dxfId="1" priority="265" operator="equal">
      <formula>0</formula>
    </cfRule>
    <cfRule type="cellIs" dxfId="2" priority="266" operator="lessThan">
      <formula>G27</formula>
    </cfRule>
  </conditionalFormatting>
  <conditionalFormatting sqref="O28">
    <cfRule type="cellIs" dxfId="1" priority="270" operator="equal">
      <formula>0</formula>
    </cfRule>
    <cfRule type="cellIs" dxfId="2" priority="271" operator="lessThan">
      <formula>G28</formula>
    </cfRule>
  </conditionalFormatting>
  <conditionalFormatting sqref="O29">
    <cfRule type="cellIs" dxfId="1" priority="275" operator="equal">
      <formula>0</formula>
    </cfRule>
    <cfRule type="cellIs" dxfId="2" priority="276" operator="lessThan">
      <formula>G29</formula>
    </cfRule>
  </conditionalFormatting>
  <conditionalFormatting sqref="O30">
    <cfRule type="cellIs" dxfId="1" priority="280" operator="equal">
      <formula>0</formula>
    </cfRule>
    <cfRule type="cellIs" dxfId="2" priority="281" operator="lessThan">
      <formula>G30</formula>
    </cfRule>
  </conditionalFormatting>
  <conditionalFormatting sqref="O31">
    <cfRule type="cellIs" dxfId="1" priority="285" operator="equal">
      <formula>0</formula>
    </cfRule>
    <cfRule type="cellIs" dxfId="2" priority="286" operator="lessThan">
      <formula>G31</formula>
    </cfRule>
  </conditionalFormatting>
  <conditionalFormatting sqref="O32">
    <cfRule type="cellIs" dxfId="1" priority="290" operator="equal">
      <formula>0</formula>
    </cfRule>
    <cfRule type="cellIs" dxfId="2" priority="291" operator="lessThan">
      <formula>G32</formula>
    </cfRule>
  </conditionalFormatting>
  <conditionalFormatting sqref="O33">
    <cfRule type="cellIs" dxfId="1" priority="295" operator="equal">
      <formula>0</formula>
    </cfRule>
    <cfRule type="cellIs" dxfId="2" priority="296" operator="lessThan">
      <formula>G33</formula>
    </cfRule>
  </conditionalFormatting>
  <conditionalFormatting sqref="O34">
    <cfRule type="cellIs" dxfId="1" priority="300" operator="equal">
      <formula>0</formula>
    </cfRule>
    <cfRule type="cellIs" dxfId="2" priority="301" operator="lessThan">
      <formula>G34</formula>
    </cfRule>
  </conditionalFormatting>
  <conditionalFormatting sqref="O35">
    <cfRule type="cellIs" dxfId="1" priority="305" operator="equal">
      <formula>0</formula>
    </cfRule>
    <cfRule type="cellIs" dxfId="2" priority="306" operator="lessThan">
      <formula>G35</formula>
    </cfRule>
  </conditionalFormatting>
  <conditionalFormatting sqref="O36">
    <cfRule type="cellIs" dxfId="1" priority="310" operator="equal">
      <formula>0</formula>
    </cfRule>
    <cfRule type="cellIs" dxfId="2" priority="311" operator="lessThan">
      <formula>G36</formula>
    </cfRule>
  </conditionalFormatting>
  <conditionalFormatting sqref="O37">
    <cfRule type="cellIs" dxfId="1" priority="315" operator="equal">
      <formula>0</formula>
    </cfRule>
    <cfRule type="cellIs" dxfId="2" priority="316" operator="lessThan">
      <formula>G37</formula>
    </cfRule>
  </conditionalFormatting>
  <conditionalFormatting sqref="O38">
    <cfRule type="cellIs" dxfId="1" priority="320" operator="equal">
      <formula>0</formula>
    </cfRule>
    <cfRule type="cellIs" dxfId="2" priority="321" operator="lessThan">
      <formula>G38</formula>
    </cfRule>
  </conditionalFormatting>
  <conditionalFormatting sqref="O40">
    <cfRule type="cellIs" dxfId="1" priority="325" operator="equal">
      <formula>0</formula>
    </cfRule>
    <cfRule type="cellIs" dxfId="2" priority="326" operator="lessThan">
      <formula>G40</formula>
    </cfRule>
  </conditionalFormatting>
  <conditionalFormatting sqref="O42">
    <cfRule type="cellIs" dxfId="1" priority="330" operator="equal">
      <formula>0</formula>
    </cfRule>
    <cfRule type="cellIs" dxfId="2" priority="331" operator="lessThan">
      <formula>G42</formula>
    </cfRule>
  </conditionalFormatting>
  <conditionalFormatting sqref="O43">
    <cfRule type="cellIs" dxfId="1" priority="335" operator="equal">
      <formula>0</formula>
    </cfRule>
    <cfRule type="cellIs" dxfId="2" priority="336" operator="lessThan">
      <formula>G43</formula>
    </cfRule>
  </conditionalFormatting>
  <conditionalFormatting sqref="O44">
    <cfRule type="cellIs" dxfId="1" priority="340" operator="equal">
      <formula>0</formula>
    </cfRule>
    <cfRule type="cellIs" dxfId="2" priority="341" operator="lessThan">
      <formula>G44</formula>
    </cfRule>
  </conditionalFormatting>
  <conditionalFormatting sqref="O45">
    <cfRule type="cellIs" dxfId="1" priority="345" operator="equal">
      <formula>0</formula>
    </cfRule>
    <cfRule type="cellIs" dxfId="2" priority="346" operator="lessThan">
      <formula>G45</formula>
    </cfRule>
  </conditionalFormatting>
  <conditionalFormatting sqref="O46">
    <cfRule type="cellIs" dxfId="1" priority="350" operator="equal">
      <formula>0</formula>
    </cfRule>
    <cfRule type="cellIs" dxfId="2" priority="351" operator="lessThan">
      <formula>G46</formula>
    </cfRule>
  </conditionalFormatting>
  <conditionalFormatting sqref="O48">
    <cfRule type="cellIs" dxfId="1" priority="355" operator="equal">
      <formula>0</formula>
    </cfRule>
    <cfRule type="cellIs" dxfId="2" priority="356" operator="lessThan">
      <formula>G48</formula>
    </cfRule>
  </conditionalFormatting>
  <conditionalFormatting sqref="O7">
    <cfRule type="cellIs" dxfId="1" priority="169" operator="equal">
      <formula>0</formula>
    </cfRule>
    <cfRule type="cellIs" dxfId="2" priority="170" operator="lessThan">
      <formula>G7</formula>
    </cfRule>
  </conditionalFormatting>
  <conditionalFormatting sqref="O8">
    <cfRule type="cellIs" dxfId="1" priority="174" operator="equal">
      <formula>0</formula>
    </cfRule>
    <cfRule type="cellIs" dxfId="2" priority="175" operator="lessThan">
      <formula>G8</formula>
    </cfRule>
  </conditionalFormatting>
  <conditionalFormatting sqref="O9">
    <cfRule type="cellIs" dxfId="1" priority="179" operator="equal">
      <formula>0</formula>
    </cfRule>
    <cfRule type="cellIs" dxfId="2" priority="180" operator="lessThan">
      <formula>G9</formula>
    </cfRule>
  </conditionalFormatting>
  <conditionalFormatting sqref="P10">
    <cfRule type="expression" dxfId="3" priority="186">
      <formula>AND(P10&gt;0,P10&lt;4000)</formula>
    </cfRule>
    <cfRule type="cellIs" dxfId="1" priority="187" operator="greaterThan">
      <formula>O10</formula>
    </cfRule>
  </conditionalFormatting>
  <conditionalFormatting sqref="P11">
    <cfRule type="cellIs" dxfId="1" priority="192" operator="greaterThan">
      <formula>O11</formula>
    </cfRule>
  </conditionalFormatting>
  <conditionalFormatting sqref="P12">
    <cfRule type="cellIs" dxfId="1" priority="197" operator="greaterThan">
      <formula>O12</formula>
    </cfRule>
  </conditionalFormatting>
  <conditionalFormatting sqref="P13">
    <cfRule type="cellIs" dxfId="1" priority="202" operator="greaterThan">
      <formula>O13</formula>
    </cfRule>
  </conditionalFormatting>
  <conditionalFormatting sqref="P14">
    <cfRule type="cellIs" dxfId="1" priority="207" operator="greaterThan">
      <formula>O14</formula>
    </cfRule>
  </conditionalFormatting>
  <conditionalFormatting sqref="P15">
    <cfRule type="cellIs" dxfId="1" priority="212" operator="greaterThan">
      <formula>O15</formula>
    </cfRule>
  </conditionalFormatting>
  <conditionalFormatting sqref="P16">
    <cfRule type="cellIs" dxfId="1" priority="217" operator="greaterThan">
      <formula>O16</formula>
    </cfRule>
  </conditionalFormatting>
  <conditionalFormatting sqref="P17">
    <cfRule type="cellIs" dxfId="1" priority="222" operator="greaterThan">
      <formula>O17</formula>
    </cfRule>
  </conditionalFormatting>
  <conditionalFormatting sqref="P18">
    <cfRule type="cellIs" dxfId="1" priority="227" operator="greaterThan">
      <formula>O18</formula>
    </cfRule>
  </conditionalFormatting>
  <conditionalFormatting sqref="P19">
    <cfRule type="cellIs" dxfId="1" priority="232" operator="greaterThan">
      <formula>O19</formula>
    </cfRule>
  </conditionalFormatting>
  <conditionalFormatting sqref="P20">
    <cfRule type="cellIs" dxfId="1" priority="237" operator="greaterThan">
      <formula>O20</formula>
    </cfRule>
  </conditionalFormatting>
  <conditionalFormatting sqref="P21">
    <cfRule type="cellIs" dxfId="1" priority="242" operator="greaterThan">
      <formula>O21</formula>
    </cfRule>
  </conditionalFormatting>
  <conditionalFormatting sqref="P22">
    <cfRule type="cellIs" dxfId="1" priority="247" operator="greaterThan">
      <formula>O22</formula>
    </cfRule>
  </conditionalFormatting>
  <conditionalFormatting sqref="P23">
    <cfRule type="cellIs" dxfId="1" priority="252" operator="greaterThan">
      <formula>O23</formula>
    </cfRule>
  </conditionalFormatting>
  <conditionalFormatting sqref="P24">
    <cfRule type="cellIs" dxfId="1" priority="257" operator="greaterThan">
      <formula>O24</formula>
    </cfRule>
  </conditionalFormatting>
  <conditionalFormatting sqref="P26">
    <cfRule type="cellIs" dxfId="1" priority="262" operator="greaterThan">
      <formula>O26</formula>
    </cfRule>
  </conditionalFormatting>
  <conditionalFormatting sqref="P27">
    <cfRule type="cellIs" dxfId="1" priority="267" operator="greaterThan">
      <formula>O27</formula>
    </cfRule>
  </conditionalFormatting>
  <conditionalFormatting sqref="P28">
    <cfRule type="cellIs" dxfId="1" priority="272" operator="greaterThan">
      <formula>O28</formula>
    </cfRule>
  </conditionalFormatting>
  <conditionalFormatting sqref="P29">
    <cfRule type="cellIs" dxfId="1" priority="277" operator="greaterThan">
      <formula>O29</formula>
    </cfRule>
  </conditionalFormatting>
  <conditionalFormatting sqref="P30">
    <cfRule type="cellIs" dxfId="1" priority="282" operator="greaterThan">
      <formula>O30</formula>
    </cfRule>
  </conditionalFormatting>
  <conditionalFormatting sqref="P31">
    <cfRule type="cellIs" dxfId="1" priority="287" operator="greaterThan">
      <formula>O31</formula>
    </cfRule>
  </conditionalFormatting>
  <conditionalFormatting sqref="P32">
    <cfRule type="cellIs" dxfId="1" priority="292" operator="greaterThan">
      <formula>O32</formula>
    </cfRule>
  </conditionalFormatting>
  <conditionalFormatting sqref="P33">
    <cfRule type="cellIs" dxfId="1" priority="297" operator="greaterThan">
      <formula>O33</formula>
    </cfRule>
  </conditionalFormatting>
  <conditionalFormatting sqref="P34">
    <cfRule type="cellIs" dxfId="1" priority="302" operator="greaterThan">
      <formula>O34</formula>
    </cfRule>
  </conditionalFormatting>
  <conditionalFormatting sqref="P35">
    <cfRule type="cellIs" dxfId="1" priority="307" operator="greaterThan">
      <formula>O35</formula>
    </cfRule>
  </conditionalFormatting>
  <conditionalFormatting sqref="P36">
    <cfRule type="cellIs" dxfId="1" priority="312" operator="greaterThan">
      <formula>O36</formula>
    </cfRule>
  </conditionalFormatting>
  <conditionalFormatting sqref="P37">
    <cfRule type="cellIs" dxfId="1" priority="317" operator="greaterThan">
      <formula>O37</formula>
    </cfRule>
  </conditionalFormatting>
  <conditionalFormatting sqref="P38">
    <cfRule type="cellIs" dxfId="1" priority="322" operator="greaterThan">
      <formula>O38</formula>
    </cfRule>
  </conditionalFormatting>
  <conditionalFormatting sqref="P40">
    <cfRule type="cellIs" dxfId="1" priority="327" operator="greaterThan">
      <formula>O40</formula>
    </cfRule>
  </conditionalFormatting>
  <conditionalFormatting sqref="P42">
    <cfRule type="cellIs" dxfId="1" priority="332" operator="greaterThan">
      <formula>O42</formula>
    </cfRule>
  </conditionalFormatting>
  <conditionalFormatting sqref="P43">
    <cfRule type="cellIs" dxfId="1" priority="337" operator="greaterThan">
      <formula>O43</formula>
    </cfRule>
  </conditionalFormatting>
  <conditionalFormatting sqref="P44">
    <cfRule type="cellIs" dxfId="1" priority="342" operator="greaterThan">
      <formula>O44</formula>
    </cfRule>
  </conditionalFormatting>
  <conditionalFormatting sqref="P45">
    <cfRule type="cellIs" dxfId="1" priority="347" operator="greaterThan">
      <formula>O45</formula>
    </cfRule>
  </conditionalFormatting>
  <conditionalFormatting sqref="P46">
    <cfRule type="cellIs" dxfId="1" priority="352" operator="greaterThan">
      <formula>O46</formula>
    </cfRule>
  </conditionalFormatting>
  <conditionalFormatting sqref="P48">
    <cfRule type="cellIs" dxfId="1" priority="357" operator="greaterThan">
      <formula>O48</formula>
    </cfRule>
  </conditionalFormatting>
  <conditionalFormatting sqref="P7">
    <cfRule type="cellIs" dxfId="1" priority="171" operator="greaterThan">
      <formula>O7</formula>
    </cfRule>
  </conditionalFormatting>
  <conditionalFormatting sqref="P8">
    <cfRule type="cellIs" dxfId="1" priority="176" operator="greaterThan">
      <formula>O8</formula>
    </cfRule>
  </conditionalFormatting>
  <conditionalFormatting sqref="P9">
    <cfRule type="cellIs" dxfId="1" priority="181" operator="greaterThan">
      <formula>O9</formula>
    </cfRule>
  </conditionalFormatting>
  <conditionalFormatting sqref="Q10">
    <cfRule type="cellIs" dxfId="4" priority="189" operator="lessThanOrEqual">
      <formula>H10</formula>
    </cfRule>
  </conditionalFormatting>
  <conditionalFormatting sqref="Q11">
    <cfRule type="cellIs" dxfId="4" priority="194" operator="lessThanOrEqual">
      <formula>H11</formula>
    </cfRule>
  </conditionalFormatting>
  <conditionalFormatting sqref="Q12">
    <cfRule type="cellIs" dxfId="4" priority="199" operator="lessThanOrEqual">
      <formula>H12</formula>
    </cfRule>
  </conditionalFormatting>
  <conditionalFormatting sqref="Q13">
    <cfRule type="cellIs" dxfId="4" priority="204" operator="lessThanOrEqual">
      <formula>H13</formula>
    </cfRule>
  </conditionalFormatting>
  <conditionalFormatting sqref="Q14">
    <cfRule type="cellIs" dxfId="4" priority="209" operator="lessThanOrEqual">
      <formula>H14</formula>
    </cfRule>
  </conditionalFormatting>
  <conditionalFormatting sqref="Q15">
    <cfRule type="cellIs" dxfId="4" priority="214" operator="lessThanOrEqual">
      <formula>H15</formula>
    </cfRule>
  </conditionalFormatting>
  <conditionalFormatting sqref="Q16">
    <cfRule type="cellIs" dxfId="4" priority="219" operator="lessThanOrEqual">
      <formula>H16</formula>
    </cfRule>
  </conditionalFormatting>
  <conditionalFormatting sqref="Q17">
    <cfRule type="cellIs" dxfId="4" priority="224" operator="lessThanOrEqual">
      <formula>H17</formula>
    </cfRule>
  </conditionalFormatting>
  <conditionalFormatting sqref="Q18">
    <cfRule type="cellIs" dxfId="4" priority="229" operator="lessThanOrEqual">
      <formula>H18</formula>
    </cfRule>
  </conditionalFormatting>
  <conditionalFormatting sqref="Q19">
    <cfRule type="cellIs" dxfId="4" priority="234" operator="lessThanOrEqual">
      <formula>H19</formula>
    </cfRule>
  </conditionalFormatting>
  <conditionalFormatting sqref="Q20">
    <cfRule type="cellIs" dxfId="4" priority="239" operator="lessThanOrEqual">
      <formula>H20</formula>
    </cfRule>
  </conditionalFormatting>
  <conditionalFormatting sqref="Q21">
    <cfRule type="cellIs" dxfId="4" priority="244" operator="lessThanOrEqual">
      <formula>H21</formula>
    </cfRule>
  </conditionalFormatting>
  <conditionalFormatting sqref="Q22">
    <cfRule type="cellIs" dxfId="4" priority="249" operator="lessThanOrEqual">
      <formula>H22</formula>
    </cfRule>
  </conditionalFormatting>
  <conditionalFormatting sqref="Q23">
    <cfRule type="cellIs" dxfId="4" priority="254" operator="lessThanOrEqual">
      <formula>H23</formula>
    </cfRule>
  </conditionalFormatting>
  <conditionalFormatting sqref="Q24">
    <cfRule type="cellIs" dxfId="4" priority="259" operator="lessThanOrEqual">
      <formula>H24</formula>
    </cfRule>
  </conditionalFormatting>
  <conditionalFormatting sqref="Q26">
    <cfRule type="cellIs" dxfId="4" priority="264" operator="lessThanOrEqual">
      <formula>H26</formula>
    </cfRule>
  </conditionalFormatting>
  <conditionalFormatting sqref="Q27">
    <cfRule type="cellIs" dxfId="4" priority="269" operator="lessThanOrEqual">
      <formula>H27</formula>
    </cfRule>
  </conditionalFormatting>
  <conditionalFormatting sqref="Q28">
    <cfRule type="cellIs" dxfId="4" priority="274" operator="lessThanOrEqual">
      <formula>H28</formula>
    </cfRule>
  </conditionalFormatting>
  <conditionalFormatting sqref="Q29">
    <cfRule type="cellIs" dxfId="4" priority="279" operator="lessThanOrEqual">
      <formula>H29</formula>
    </cfRule>
  </conditionalFormatting>
  <conditionalFormatting sqref="Q30">
    <cfRule type="cellIs" dxfId="4" priority="284" operator="lessThanOrEqual">
      <formula>H30</formula>
    </cfRule>
  </conditionalFormatting>
  <conditionalFormatting sqref="Q31">
    <cfRule type="cellIs" dxfId="4" priority="289" operator="lessThanOrEqual">
      <formula>H31</formula>
    </cfRule>
  </conditionalFormatting>
  <conditionalFormatting sqref="Q32">
    <cfRule type="cellIs" dxfId="4" priority="294" operator="lessThanOrEqual">
      <formula>H32</formula>
    </cfRule>
  </conditionalFormatting>
  <conditionalFormatting sqref="Q33">
    <cfRule type="cellIs" dxfId="4" priority="299" operator="lessThanOrEqual">
      <formula>H33</formula>
    </cfRule>
  </conditionalFormatting>
  <conditionalFormatting sqref="Q34">
    <cfRule type="cellIs" dxfId="4" priority="304" operator="lessThanOrEqual">
      <formula>H34</formula>
    </cfRule>
  </conditionalFormatting>
  <conditionalFormatting sqref="Q35">
    <cfRule type="cellIs" dxfId="4" priority="309" operator="lessThanOrEqual">
      <formula>H35</formula>
    </cfRule>
  </conditionalFormatting>
  <conditionalFormatting sqref="Q36">
    <cfRule type="cellIs" dxfId="4" priority="314" operator="lessThanOrEqual">
      <formula>H36</formula>
    </cfRule>
  </conditionalFormatting>
  <conditionalFormatting sqref="Q37">
    <cfRule type="cellIs" dxfId="4" priority="319" operator="lessThanOrEqual">
      <formula>H37</formula>
    </cfRule>
  </conditionalFormatting>
  <conditionalFormatting sqref="Q38">
    <cfRule type="cellIs" dxfId="4" priority="324" operator="lessThanOrEqual">
      <formula>H38</formula>
    </cfRule>
  </conditionalFormatting>
  <conditionalFormatting sqref="Q40">
    <cfRule type="cellIs" dxfId="4" priority="329" operator="lessThanOrEqual">
      <formula>H40</formula>
    </cfRule>
  </conditionalFormatting>
  <conditionalFormatting sqref="Q42">
    <cfRule type="cellIs" dxfId="4" priority="334" operator="lessThanOrEqual">
      <formula>H42</formula>
    </cfRule>
  </conditionalFormatting>
  <conditionalFormatting sqref="Q43">
    <cfRule type="cellIs" dxfId="4" priority="339" operator="lessThanOrEqual">
      <formula>H43</formula>
    </cfRule>
  </conditionalFormatting>
  <conditionalFormatting sqref="Q44">
    <cfRule type="cellIs" dxfId="4" priority="344" operator="lessThanOrEqual">
      <formula>H44</formula>
    </cfRule>
  </conditionalFormatting>
  <conditionalFormatting sqref="Q45">
    <cfRule type="cellIs" dxfId="4" priority="349" operator="lessThanOrEqual">
      <formula>H45</formula>
    </cfRule>
  </conditionalFormatting>
  <conditionalFormatting sqref="Q46">
    <cfRule type="cellIs" dxfId="4" priority="354" operator="lessThanOrEqual">
      <formula>H46</formula>
    </cfRule>
  </conditionalFormatting>
  <conditionalFormatting sqref="Q48">
    <cfRule type="cellIs" dxfId="4" priority="359" operator="lessThanOrEqual">
      <formula>H48</formula>
    </cfRule>
  </conditionalFormatting>
  <conditionalFormatting sqref="Q7">
    <cfRule type="cellIs" dxfId="4" priority="173" operator="lessThanOrEqual">
      <formula>H7</formula>
    </cfRule>
  </conditionalFormatting>
  <conditionalFormatting sqref="Q8">
    <cfRule type="cellIs" dxfId="4" priority="178" operator="lessThanOrEqual">
      <formula>H8</formula>
    </cfRule>
  </conditionalFormatting>
  <conditionalFormatting sqref="Q9">
    <cfRule type="cellIs" dxfId="4" priority="183" operator="lessThanOrEqual">
      <formula>H9</formula>
    </cfRule>
  </conditionalFormatting>
  <conditionalFormatting sqref="R10">
    <cfRule type="cellIs" dxfId="4" priority="188" operator="lessThanOrEqual">
      <formula>I10</formula>
    </cfRule>
  </conditionalFormatting>
  <conditionalFormatting sqref="R11">
    <cfRule type="cellIs" dxfId="4" priority="193" operator="lessThanOrEqual">
      <formula>I11</formula>
    </cfRule>
  </conditionalFormatting>
  <conditionalFormatting sqref="R12">
    <cfRule type="cellIs" dxfId="4" priority="198" operator="lessThanOrEqual">
      <formula>I12</formula>
    </cfRule>
  </conditionalFormatting>
  <conditionalFormatting sqref="R13">
    <cfRule type="cellIs" dxfId="4" priority="203" operator="lessThanOrEqual">
      <formula>I13</formula>
    </cfRule>
  </conditionalFormatting>
  <conditionalFormatting sqref="R14">
    <cfRule type="cellIs" dxfId="4" priority="208" operator="lessThanOrEqual">
      <formula>I14</formula>
    </cfRule>
  </conditionalFormatting>
  <conditionalFormatting sqref="R15">
    <cfRule type="cellIs" dxfId="4" priority="213" operator="lessThanOrEqual">
      <formula>I15</formula>
    </cfRule>
  </conditionalFormatting>
  <conditionalFormatting sqref="R16">
    <cfRule type="cellIs" dxfId="4" priority="218" operator="lessThanOrEqual">
      <formula>I16</formula>
    </cfRule>
  </conditionalFormatting>
  <conditionalFormatting sqref="R17">
    <cfRule type="cellIs" dxfId="4" priority="223" operator="lessThanOrEqual">
      <formula>I17</formula>
    </cfRule>
  </conditionalFormatting>
  <conditionalFormatting sqref="R18">
    <cfRule type="cellIs" dxfId="4" priority="228" operator="lessThanOrEqual">
      <formula>I18</formula>
    </cfRule>
  </conditionalFormatting>
  <conditionalFormatting sqref="R19">
    <cfRule type="cellIs" dxfId="4" priority="233" operator="lessThanOrEqual">
      <formula>I19</formula>
    </cfRule>
  </conditionalFormatting>
  <conditionalFormatting sqref="R20">
    <cfRule type="cellIs" dxfId="4" priority="238" operator="lessThanOrEqual">
      <formula>I20</formula>
    </cfRule>
  </conditionalFormatting>
  <conditionalFormatting sqref="R21">
    <cfRule type="cellIs" dxfId="4" priority="243" operator="lessThanOrEqual">
      <formula>I21</formula>
    </cfRule>
  </conditionalFormatting>
  <conditionalFormatting sqref="R22">
    <cfRule type="cellIs" dxfId="4" priority="248" operator="lessThanOrEqual">
      <formula>I22</formula>
    </cfRule>
  </conditionalFormatting>
  <conditionalFormatting sqref="R23">
    <cfRule type="cellIs" dxfId="4" priority="253" operator="lessThanOrEqual">
      <formula>I23</formula>
    </cfRule>
  </conditionalFormatting>
  <conditionalFormatting sqref="R24">
    <cfRule type="cellIs" dxfId="4" priority="258" operator="lessThanOrEqual">
      <formula>I24</formula>
    </cfRule>
  </conditionalFormatting>
  <conditionalFormatting sqref="R26">
    <cfRule type="cellIs" dxfId="4" priority="263" operator="lessThanOrEqual">
      <formula>I26</formula>
    </cfRule>
  </conditionalFormatting>
  <conditionalFormatting sqref="R27">
    <cfRule type="cellIs" dxfId="4" priority="268" operator="lessThanOrEqual">
      <formula>I27</formula>
    </cfRule>
  </conditionalFormatting>
  <conditionalFormatting sqref="R28">
    <cfRule type="cellIs" dxfId="4" priority="273" operator="lessThanOrEqual">
      <formula>I28</formula>
    </cfRule>
  </conditionalFormatting>
  <conditionalFormatting sqref="R29">
    <cfRule type="cellIs" dxfId="4" priority="278" operator="lessThanOrEqual">
      <formula>I29</formula>
    </cfRule>
  </conditionalFormatting>
  <conditionalFormatting sqref="R30">
    <cfRule type="cellIs" dxfId="4" priority="283" operator="lessThanOrEqual">
      <formula>I30</formula>
    </cfRule>
  </conditionalFormatting>
  <conditionalFormatting sqref="R31">
    <cfRule type="cellIs" dxfId="4" priority="288" operator="lessThanOrEqual">
      <formula>I31</formula>
    </cfRule>
  </conditionalFormatting>
  <conditionalFormatting sqref="R32">
    <cfRule type="cellIs" dxfId="4" priority="293" operator="lessThanOrEqual">
      <formula>I32</formula>
    </cfRule>
  </conditionalFormatting>
  <conditionalFormatting sqref="R33">
    <cfRule type="cellIs" dxfId="4" priority="298" operator="lessThanOrEqual">
      <formula>I33</formula>
    </cfRule>
  </conditionalFormatting>
  <conditionalFormatting sqref="R34">
    <cfRule type="cellIs" dxfId="4" priority="303" operator="lessThanOrEqual">
      <formula>I34</formula>
    </cfRule>
  </conditionalFormatting>
  <conditionalFormatting sqref="R35">
    <cfRule type="cellIs" dxfId="4" priority="308" operator="lessThanOrEqual">
      <formula>I35</formula>
    </cfRule>
  </conditionalFormatting>
  <conditionalFormatting sqref="R36">
    <cfRule type="cellIs" dxfId="4" priority="313" operator="lessThanOrEqual">
      <formula>I36</formula>
    </cfRule>
  </conditionalFormatting>
  <conditionalFormatting sqref="R37">
    <cfRule type="cellIs" dxfId="4" priority="318" operator="lessThanOrEqual">
      <formula>I37</formula>
    </cfRule>
  </conditionalFormatting>
  <conditionalFormatting sqref="R38">
    <cfRule type="cellIs" dxfId="4" priority="323" operator="lessThanOrEqual">
      <formula>I38</formula>
    </cfRule>
  </conditionalFormatting>
  <conditionalFormatting sqref="R40">
    <cfRule type="cellIs" dxfId="4" priority="328" operator="lessThanOrEqual">
      <formula>I40</formula>
    </cfRule>
  </conditionalFormatting>
  <conditionalFormatting sqref="R42">
    <cfRule type="cellIs" dxfId="4" priority="333" operator="lessThanOrEqual">
      <formula>I42</formula>
    </cfRule>
  </conditionalFormatting>
  <conditionalFormatting sqref="R43">
    <cfRule type="cellIs" dxfId="4" priority="338" operator="lessThanOrEqual">
      <formula>I43</formula>
    </cfRule>
  </conditionalFormatting>
  <conditionalFormatting sqref="R44">
    <cfRule type="cellIs" dxfId="4" priority="343" operator="lessThanOrEqual">
      <formula>I44</formula>
    </cfRule>
  </conditionalFormatting>
  <conditionalFormatting sqref="R45">
    <cfRule type="cellIs" dxfId="4" priority="348" operator="lessThanOrEqual">
      <formula>I45</formula>
    </cfRule>
  </conditionalFormatting>
  <conditionalFormatting sqref="R46">
    <cfRule type="cellIs" dxfId="4" priority="353" operator="lessThanOrEqual">
      <formula>I46</formula>
    </cfRule>
  </conditionalFormatting>
  <conditionalFormatting sqref="R48">
    <cfRule type="cellIs" dxfId="4" priority="358" operator="lessThanOrEqual">
      <formula>I48</formula>
    </cfRule>
  </conditionalFormatting>
  <conditionalFormatting sqref="R7">
    <cfRule type="cellIs" dxfId="4" priority="172" operator="lessThanOrEqual">
      <formula>I7</formula>
    </cfRule>
  </conditionalFormatting>
  <conditionalFormatting sqref="R8">
    <cfRule type="cellIs" dxfId="4" priority="177" operator="lessThanOrEqual">
      <formula>I8</formula>
    </cfRule>
  </conditionalFormatting>
  <conditionalFormatting sqref="R9">
    <cfRule type="cellIs" dxfId="4" priority="182" operator="lessThanOrEqual">
      <formula>I9</formula>
    </cfRule>
  </conditionalFormatting>
  <conditionalFormatting sqref="T14">
    <cfRule type="cellIs" dxfId="1" priority="366" operator="equal">
      <formula>0</formula>
    </cfRule>
    <cfRule type="cellIs" dxfId="2" priority="367" operator="lessThan">
      <formula>G14</formula>
    </cfRule>
  </conditionalFormatting>
  <conditionalFormatting sqref="T15">
    <cfRule type="cellIs" dxfId="1" priority="372" operator="equal">
      <formula>0</formula>
    </cfRule>
    <cfRule type="cellIs" dxfId="2" priority="373" operator="lessThan">
      <formula>G15</formula>
    </cfRule>
  </conditionalFormatting>
  <conditionalFormatting sqref="T16">
    <cfRule type="cellIs" dxfId="1" priority="378" operator="equal">
      <formula>0</formula>
    </cfRule>
    <cfRule type="cellIs" dxfId="2" priority="379" operator="lessThan">
      <formula>G16</formula>
    </cfRule>
  </conditionalFormatting>
  <conditionalFormatting sqref="T17">
    <cfRule type="cellIs" dxfId="1" priority="384" operator="equal">
      <formula>0</formula>
    </cfRule>
    <cfRule type="cellIs" dxfId="2" priority="385" operator="lessThan">
      <formula>G17</formula>
    </cfRule>
  </conditionalFormatting>
  <conditionalFormatting sqref="T20">
    <cfRule type="cellIs" dxfId="1" priority="389" operator="equal">
      <formula>0</formula>
    </cfRule>
    <cfRule type="cellIs" dxfId="2" priority="390" operator="lessThan">
      <formula>G20</formula>
    </cfRule>
  </conditionalFormatting>
  <conditionalFormatting sqref="T21">
    <cfRule type="cellIs" dxfId="1" priority="394" operator="equal">
      <formula>0</formula>
    </cfRule>
    <cfRule type="cellIs" dxfId="2" priority="395" operator="lessThan">
      <formula>G21</formula>
    </cfRule>
  </conditionalFormatting>
  <conditionalFormatting sqref="T23">
    <cfRule type="cellIs" dxfId="1" priority="399" operator="equal">
      <formula>0</formula>
    </cfRule>
    <cfRule type="cellIs" dxfId="2" priority="400" operator="lessThan">
      <formula>G23</formula>
    </cfRule>
  </conditionalFormatting>
  <conditionalFormatting sqref="T24">
    <cfRule type="cellIs" dxfId="1" priority="404" operator="equal">
      <formula>0</formula>
    </cfRule>
    <cfRule type="cellIs" dxfId="2" priority="405" operator="lessThan">
      <formula>G24</formula>
    </cfRule>
  </conditionalFormatting>
  <conditionalFormatting sqref="T26">
    <cfRule type="cellIs" dxfId="1" priority="410" operator="equal">
      <formula>0</formula>
    </cfRule>
    <cfRule type="cellIs" dxfId="2" priority="411" operator="lessThan">
      <formula>G26</formula>
    </cfRule>
  </conditionalFormatting>
  <conditionalFormatting sqref="T28">
    <cfRule type="cellIs" dxfId="1" priority="416" operator="equal">
      <formula>0</formula>
    </cfRule>
    <cfRule type="cellIs" dxfId="2" priority="417" operator="lessThan">
      <formula>G28</formula>
    </cfRule>
  </conditionalFormatting>
  <conditionalFormatting sqref="T29">
    <cfRule type="cellIs" dxfId="1" priority="422" operator="equal">
      <formula>0</formula>
    </cfRule>
    <cfRule type="cellIs" dxfId="2" priority="423" operator="lessThan">
      <formula>G29</formula>
    </cfRule>
  </conditionalFormatting>
  <conditionalFormatting sqref="T30">
    <cfRule type="cellIs" dxfId="1" priority="428" operator="equal">
      <formula>0</formula>
    </cfRule>
    <cfRule type="cellIs" dxfId="2" priority="429" operator="lessThan">
      <formula>G30</formula>
    </cfRule>
  </conditionalFormatting>
  <conditionalFormatting sqref="T31">
    <cfRule type="cellIs" dxfId="1" priority="434" operator="equal">
      <formula>0</formula>
    </cfRule>
    <cfRule type="cellIs" dxfId="2" priority="435" operator="lessThan">
      <formula>G31</formula>
    </cfRule>
  </conditionalFormatting>
  <conditionalFormatting sqref="T32">
    <cfRule type="cellIs" dxfId="1" priority="440" operator="equal">
      <formula>0</formula>
    </cfRule>
    <cfRule type="cellIs" dxfId="2" priority="441" operator="lessThan">
      <formula>G32</formula>
    </cfRule>
  </conditionalFormatting>
  <conditionalFormatting sqref="T33">
    <cfRule type="cellIs" dxfId="1" priority="446" operator="equal">
      <formula>0</formula>
    </cfRule>
    <cfRule type="cellIs" dxfId="2" priority="447" operator="lessThan">
      <formula>G33</formula>
    </cfRule>
  </conditionalFormatting>
  <conditionalFormatting sqref="T34">
    <cfRule type="cellIs" dxfId="1" priority="452" operator="equal">
      <formula>0</formula>
    </cfRule>
    <cfRule type="cellIs" dxfId="2" priority="453" operator="lessThan">
      <formula>G34</formula>
    </cfRule>
  </conditionalFormatting>
  <conditionalFormatting sqref="T36">
    <cfRule type="cellIs" dxfId="1" priority="458" operator="equal">
      <formula>0</formula>
    </cfRule>
    <cfRule type="cellIs" dxfId="2" priority="459" operator="lessThan">
      <formula>G36</formula>
    </cfRule>
  </conditionalFormatting>
  <conditionalFormatting sqref="T37">
    <cfRule type="cellIs" dxfId="1" priority="464" operator="equal">
      <formula>0</formula>
    </cfRule>
    <cfRule type="cellIs" dxfId="2" priority="465" operator="lessThan">
      <formula>G37</formula>
    </cfRule>
  </conditionalFormatting>
  <conditionalFormatting sqref="T42">
    <cfRule type="cellIs" dxfId="1" priority="470" operator="equal">
      <formula>0</formula>
    </cfRule>
    <cfRule type="cellIs" dxfId="2" priority="471" operator="lessThan">
      <formula>G42</formula>
    </cfRule>
  </conditionalFormatting>
  <conditionalFormatting sqref="T44">
    <cfRule type="cellIs" dxfId="1" priority="476" operator="equal">
      <formula>0</formula>
    </cfRule>
    <cfRule type="cellIs" dxfId="2" priority="477" operator="lessThan">
      <formula>G44</formula>
    </cfRule>
  </conditionalFormatting>
  <conditionalFormatting sqref="T45">
    <cfRule type="cellIs" dxfId="1" priority="481" operator="equal">
      <formula>0</formula>
    </cfRule>
    <cfRule type="cellIs" dxfId="2" priority="482" operator="lessThan">
      <formula>G45</formula>
    </cfRule>
  </conditionalFormatting>
  <conditionalFormatting sqref="T46">
    <cfRule type="cellIs" dxfId="1" priority="486" operator="equal">
      <formula>0</formula>
    </cfRule>
    <cfRule type="cellIs" dxfId="2" priority="487" operator="lessThan">
      <formula>G46</formula>
    </cfRule>
  </conditionalFormatting>
  <conditionalFormatting sqref="T7">
    <cfRule type="cellIs" dxfId="1" priority="360" operator="equal">
      <formula>0</formula>
    </cfRule>
    <cfRule type="cellIs" dxfId="2" priority="361" operator="lessThan">
      <formula>G7</formula>
    </cfRule>
  </conditionalFormatting>
  <conditionalFormatting sqref="U14">
    <cfRule type="expression" dxfId="3" priority="368">
      <formula>AND(U14&gt;0,U14&lt;5)</formula>
    </cfRule>
    <cfRule type="cellIs" dxfId="1" priority="369" operator="greaterThan">
      <formula>T14</formula>
    </cfRule>
  </conditionalFormatting>
  <conditionalFormatting sqref="U15">
    <cfRule type="expression" dxfId="3" priority="374">
      <formula>AND(U15&gt;0,U15&lt;5)</formula>
    </cfRule>
    <cfRule type="cellIs" dxfId="1" priority="375" operator="greaterThan">
      <formula>T15</formula>
    </cfRule>
  </conditionalFormatting>
  <conditionalFormatting sqref="U16">
    <cfRule type="expression" dxfId="3" priority="380">
      <formula>AND(U16&gt;0,U16&lt;5)</formula>
    </cfRule>
    <cfRule type="cellIs" dxfId="1" priority="381" operator="greaterThan">
      <formula>T16</formula>
    </cfRule>
  </conditionalFormatting>
  <conditionalFormatting sqref="U17">
    <cfRule type="cellIs" dxfId="1" priority="386" operator="greaterThan">
      <formula>T17</formula>
    </cfRule>
  </conditionalFormatting>
  <conditionalFormatting sqref="U20">
    <cfRule type="cellIs" dxfId="1" priority="391" operator="greaterThan">
      <formula>T20</formula>
    </cfRule>
  </conditionalFormatting>
  <conditionalFormatting sqref="U21">
    <cfRule type="cellIs" dxfId="1" priority="396" operator="greaterThan">
      <formula>T21</formula>
    </cfRule>
  </conditionalFormatting>
  <conditionalFormatting sqref="U23">
    <cfRule type="cellIs" dxfId="1" priority="401" operator="greaterThan">
      <formula>T23</formula>
    </cfRule>
  </conditionalFormatting>
  <conditionalFormatting sqref="U24">
    <cfRule type="expression" dxfId="3" priority="406">
      <formula>AND(U24&gt;0,U24&lt;500)</formula>
    </cfRule>
    <cfRule type="cellIs" dxfId="1" priority="407" operator="greaterThan">
      <formula>T24</formula>
    </cfRule>
  </conditionalFormatting>
  <conditionalFormatting sqref="U26">
    <cfRule type="expression" dxfId="3" priority="412">
      <formula>AND(U26&gt;0,U26&lt;5)</formula>
    </cfRule>
    <cfRule type="cellIs" dxfId="1" priority="413" operator="greaterThan">
      <formula>T26</formula>
    </cfRule>
  </conditionalFormatting>
  <conditionalFormatting sqref="U28">
    <cfRule type="expression" dxfId="3" priority="418">
      <formula>AND(U28&gt;0,U28&lt;10)</formula>
    </cfRule>
    <cfRule type="cellIs" dxfId="1" priority="419" operator="greaterThan">
      <formula>T28</formula>
    </cfRule>
  </conditionalFormatting>
  <conditionalFormatting sqref="U29">
    <cfRule type="expression" dxfId="3" priority="424">
      <formula>AND(U29&gt;0,U29&lt;10)</formula>
    </cfRule>
    <cfRule type="cellIs" dxfId="1" priority="425" operator="greaterThan">
      <formula>T29</formula>
    </cfRule>
  </conditionalFormatting>
  <conditionalFormatting sqref="U30">
    <cfRule type="expression" dxfId="3" priority="430">
      <formula>AND(U30&gt;0,U30&lt;10)</formula>
    </cfRule>
    <cfRule type="cellIs" dxfId="1" priority="431" operator="greaterThan">
      <formula>T30</formula>
    </cfRule>
  </conditionalFormatting>
  <conditionalFormatting sqref="U31">
    <cfRule type="expression" dxfId="3" priority="436">
      <formula>AND(U31&gt;0,U31&lt;10)</formula>
    </cfRule>
    <cfRule type="cellIs" dxfId="1" priority="437" operator="greaterThan">
      <formula>T31</formula>
    </cfRule>
  </conditionalFormatting>
  <conditionalFormatting sqref="U32">
    <cfRule type="expression" dxfId="3" priority="442">
      <formula>AND(U32&gt;0,U32&lt;10)</formula>
    </cfRule>
    <cfRule type="cellIs" dxfId="1" priority="443" operator="greaterThan">
      <formula>T32</formula>
    </cfRule>
  </conditionalFormatting>
  <conditionalFormatting sqref="U33">
    <cfRule type="expression" dxfId="3" priority="448">
      <formula>AND(U33&gt;0,U33&lt;10)</formula>
    </cfRule>
    <cfRule type="cellIs" dxfId="1" priority="449" operator="greaterThan">
      <formula>T33</formula>
    </cfRule>
  </conditionalFormatting>
  <conditionalFormatting sqref="U34">
    <cfRule type="expression" dxfId="3" priority="454">
      <formula>AND(U34&gt;0,U34&lt;10)</formula>
    </cfRule>
    <cfRule type="cellIs" dxfId="1" priority="455" operator="greaterThan">
      <formula>T34</formula>
    </cfRule>
  </conditionalFormatting>
  <conditionalFormatting sqref="U36">
    <cfRule type="expression" dxfId="3" priority="460">
      <formula>AND(U36&gt;0,U36&lt;10)</formula>
    </cfRule>
    <cfRule type="cellIs" dxfId="1" priority="461" operator="greaterThan">
      <formula>T36</formula>
    </cfRule>
  </conditionalFormatting>
  <conditionalFormatting sqref="U37">
    <cfRule type="expression" dxfId="3" priority="466">
      <formula>AND(U37&gt;0,U37&lt;10)</formula>
    </cfRule>
    <cfRule type="cellIs" dxfId="1" priority="467" operator="greaterThan">
      <formula>T37</formula>
    </cfRule>
  </conditionalFormatting>
  <conditionalFormatting sqref="U42">
    <cfRule type="expression" dxfId="3" priority="472">
      <formula>AND(U42&gt;0,U42&lt;5)</formula>
    </cfRule>
    <cfRule type="cellIs" dxfId="1" priority="473" operator="greaterThan">
      <formula>T42</formula>
    </cfRule>
  </conditionalFormatting>
  <conditionalFormatting sqref="U44">
    <cfRule type="cellIs" dxfId="1" priority="478" operator="greaterThan">
      <formula>T44</formula>
    </cfRule>
  </conditionalFormatting>
  <conditionalFormatting sqref="U45">
    <cfRule type="cellIs" dxfId="1" priority="483" operator="greaterThan">
      <formula>T45</formula>
    </cfRule>
  </conditionalFormatting>
  <conditionalFormatting sqref="U46">
    <cfRule type="cellIs" dxfId="1" priority="488" operator="greaterThan">
      <formula>T46</formula>
    </cfRule>
  </conditionalFormatting>
  <conditionalFormatting sqref="U7">
    <cfRule type="expression" dxfId="3" priority="362">
      <formula>AND(U7&gt;0,U7&lt;100)</formula>
    </cfRule>
    <cfRule type="cellIs" dxfId="1" priority="363" operator="greaterThan">
      <formula>T7</formula>
    </cfRule>
  </conditionalFormatting>
  <conditionalFormatting sqref="V14">
    <cfRule type="cellIs" dxfId="4" priority="371" operator="lessThanOrEqual">
      <formula>H14</formula>
    </cfRule>
  </conditionalFormatting>
  <conditionalFormatting sqref="V15">
    <cfRule type="cellIs" dxfId="4" priority="377" operator="lessThanOrEqual">
      <formula>H15</formula>
    </cfRule>
  </conditionalFormatting>
  <conditionalFormatting sqref="V16">
    <cfRule type="cellIs" dxfId="4" priority="383" operator="lessThanOrEqual">
      <formula>H16</formula>
    </cfRule>
  </conditionalFormatting>
  <conditionalFormatting sqref="V17">
    <cfRule type="cellIs" dxfId="4" priority="388" operator="lessThanOrEqual">
      <formula>H17</formula>
    </cfRule>
  </conditionalFormatting>
  <conditionalFormatting sqref="V20">
    <cfRule type="cellIs" dxfId="4" priority="393" operator="lessThanOrEqual">
      <formula>H20</formula>
    </cfRule>
  </conditionalFormatting>
  <conditionalFormatting sqref="V21">
    <cfRule type="cellIs" dxfId="4" priority="398" operator="lessThanOrEqual">
      <formula>H21</formula>
    </cfRule>
  </conditionalFormatting>
  <conditionalFormatting sqref="V23">
    <cfRule type="cellIs" dxfId="4" priority="403" operator="lessThanOrEqual">
      <formula>H23</formula>
    </cfRule>
  </conditionalFormatting>
  <conditionalFormatting sqref="V24">
    <cfRule type="cellIs" dxfId="4" priority="409" operator="lessThanOrEqual">
      <formula>H24</formula>
    </cfRule>
  </conditionalFormatting>
  <conditionalFormatting sqref="V26">
    <cfRule type="cellIs" dxfId="4" priority="415" operator="lessThanOrEqual">
      <formula>H26</formula>
    </cfRule>
  </conditionalFormatting>
  <conditionalFormatting sqref="V28">
    <cfRule type="cellIs" dxfId="4" priority="421" operator="lessThanOrEqual">
      <formula>H28</formula>
    </cfRule>
  </conditionalFormatting>
  <conditionalFormatting sqref="V29">
    <cfRule type="cellIs" dxfId="4" priority="427" operator="lessThanOrEqual">
      <formula>H29</formula>
    </cfRule>
  </conditionalFormatting>
  <conditionalFormatting sqref="V30">
    <cfRule type="cellIs" dxfId="4" priority="433" operator="lessThanOrEqual">
      <formula>H30</formula>
    </cfRule>
  </conditionalFormatting>
  <conditionalFormatting sqref="V31">
    <cfRule type="cellIs" dxfId="4" priority="439" operator="lessThanOrEqual">
      <formula>H31</formula>
    </cfRule>
  </conditionalFormatting>
  <conditionalFormatting sqref="V32">
    <cfRule type="cellIs" dxfId="4" priority="445" operator="lessThanOrEqual">
      <formula>H32</formula>
    </cfRule>
  </conditionalFormatting>
  <conditionalFormatting sqref="V33">
    <cfRule type="cellIs" dxfId="4" priority="451" operator="lessThanOrEqual">
      <formula>H33</formula>
    </cfRule>
  </conditionalFormatting>
  <conditionalFormatting sqref="V34">
    <cfRule type="cellIs" dxfId="4" priority="457" operator="lessThanOrEqual">
      <formula>H34</formula>
    </cfRule>
  </conditionalFormatting>
  <conditionalFormatting sqref="V36">
    <cfRule type="cellIs" dxfId="4" priority="463" operator="lessThanOrEqual">
      <formula>H36</formula>
    </cfRule>
  </conditionalFormatting>
  <conditionalFormatting sqref="V37">
    <cfRule type="cellIs" dxfId="4" priority="469" operator="lessThanOrEqual">
      <formula>H37</formula>
    </cfRule>
  </conditionalFormatting>
  <conditionalFormatting sqref="V42">
    <cfRule type="cellIs" dxfId="4" priority="475" operator="lessThanOrEqual">
      <formula>H42</formula>
    </cfRule>
  </conditionalFormatting>
  <conditionalFormatting sqref="V44">
    <cfRule type="cellIs" dxfId="4" priority="480" operator="lessThanOrEqual">
      <formula>H44</formula>
    </cfRule>
  </conditionalFormatting>
  <conditionalFormatting sqref="V45">
    <cfRule type="cellIs" dxfId="4" priority="485" operator="lessThanOrEqual">
      <formula>H45</formula>
    </cfRule>
  </conditionalFormatting>
  <conditionalFormatting sqref="V46">
    <cfRule type="cellIs" dxfId="4" priority="490" operator="lessThanOrEqual">
      <formula>H46</formula>
    </cfRule>
  </conditionalFormatting>
  <conditionalFormatting sqref="V7">
    <cfRule type="cellIs" dxfId="4" priority="365" operator="lessThanOrEqual">
      <formula>H7</formula>
    </cfRule>
  </conditionalFormatting>
  <conditionalFormatting sqref="W14">
    <cfRule type="cellIs" dxfId="4" priority="370" operator="lessThanOrEqual">
      <formula>I14</formula>
    </cfRule>
  </conditionalFormatting>
  <conditionalFormatting sqref="W15">
    <cfRule type="cellIs" dxfId="4" priority="376" operator="lessThanOrEqual">
      <formula>I15</formula>
    </cfRule>
  </conditionalFormatting>
  <conditionalFormatting sqref="W16">
    <cfRule type="cellIs" dxfId="4" priority="382" operator="lessThanOrEqual">
      <formula>I16</formula>
    </cfRule>
  </conditionalFormatting>
  <conditionalFormatting sqref="W17">
    <cfRule type="cellIs" dxfId="4" priority="387" operator="lessThanOrEqual">
      <formula>I17</formula>
    </cfRule>
  </conditionalFormatting>
  <conditionalFormatting sqref="W20">
    <cfRule type="cellIs" dxfId="4" priority="392" operator="lessThanOrEqual">
      <formula>I20</formula>
    </cfRule>
  </conditionalFormatting>
  <conditionalFormatting sqref="W21">
    <cfRule type="cellIs" dxfId="4" priority="397" operator="lessThanOrEqual">
      <formula>I21</formula>
    </cfRule>
  </conditionalFormatting>
  <conditionalFormatting sqref="W23">
    <cfRule type="cellIs" dxfId="4" priority="402" operator="lessThanOrEqual">
      <formula>I23</formula>
    </cfRule>
  </conditionalFormatting>
  <conditionalFormatting sqref="W24">
    <cfRule type="cellIs" dxfId="4" priority="408" operator="lessThanOrEqual">
      <formula>I24</formula>
    </cfRule>
  </conditionalFormatting>
  <conditionalFormatting sqref="W26">
    <cfRule type="cellIs" dxfId="4" priority="414" operator="lessThanOrEqual">
      <formula>I26</formula>
    </cfRule>
  </conditionalFormatting>
  <conditionalFormatting sqref="W28">
    <cfRule type="cellIs" dxfId="4" priority="420" operator="lessThanOrEqual">
      <formula>I28</formula>
    </cfRule>
  </conditionalFormatting>
  <conditionalFormatting sqref="W29">
    <cfRule type="cellIs" dxfId="4" priority="426" operator="lessThanOrEqual">
      <formula>I29</formula>
    </cfRule>
  </conditionalFormatting>
  <conditionalFormatting sqref="W30">
    <cfRule type="cellIs" dxfId="4" priority="432" operator="lessThanOrEqual">
      <formula>I30</formula>
    </cfRule>
  </conditionalFormatting>
  <conditionalFormatting sqref="W31">
    <cfRule type="cellIs" dxfId="4" priority="438" operator="lessThanOrEqual">
      <formula>I31</formula>
    </cfRule>
  </conditionalFormatting>
  <conditionalFormatting sqref="W32">
    <cfRule type="cellIs" dxfId="4" priority="444" operator="lessThanOrEqual">
      <formula>I32</formula>
    </cfRule>
  </conditionalFormatting>
  <conditionalFormatting sqref="W33">
    <cfRule type="cellIs" dxfId="4" priority="450" operator="lessThanOrEqual">
      <formula>I33</formula>
    </cfRule>
  </conditionalFormatting>
  <conditionalFormatting sqref="W34">
    <cfRule type="cellIs" dxfId="4" priority="456" operator="lessThanOrEqual">
      <formula>I34</formula>
    </cfRule>
  </conditionalFormatting>
  <conditionalFormatting sqref="W36">
    <cfRule type="cellIs" dxfId="4" priority="462" operator="lessThanOrEqual">
      <formula>I36</formula>
    </cfRule>
  </conditionalFormatting>
  <conditionalFormatting sqref="W37">
    <cfRule type="cellIs" dxfId="4" priority="468" operator="lessThanOrEqual">
      <formula>I37</formula>
    </cfRule>
  </conditionalFormatting>
  <conditionalFormatting sqref="W42">
    <cfRule type="cellIs" dxfId="4" priority="474" operator="lessThanOrEqual">
      <formula>I42</formula>
    </cfRule>
  </conditionalFormatting>
  <conditionalFormatting sqref="W44">
    <cfRule type="cellIs" dxfId="4" priority="479" operator="lessThanOrEqual">
      <formula>I44</formula>
    </cfRule>
  </conditionalFormatting>
  <conditionalFormatting sqref="W45">
    <cfRule type="cellIs" dxfId="4" priority="484" operator="lessThanOrEqual">
      <formula>I45</formula>
    </cfRule>
  </conditionalFormatting>
  <conditionalFormatting sqref="W46">
    <cfRule type="cellIs" dxfId="4" priority="489" operator="lessThanOrEqual">
      <formula>I46</formula>
    </cfRule>
  </conditionalFormatting>
  <conditionalFormatting sqref="W7">
    <cfRule type="cellIs" dxfId="4" priority="364" operator="lessThanOrEqual">
      <formula>I7</formula>
    </cfRule>
  </conditionalFormatting>
  <conditionalFormatting sqref="Y12">
    <cfRule type="cellIs" dxfId="1" priority="503" operator="equal">
      <formula>0</formula>
    </cfRule>
    <cfRule type="cellIs" dxfId="2" priority="504" operator="lessThan">
      <formula>G12</formula>
    </cfRule>
  </conditionalFormatting>
  <conditionalFormatting sqref="Y21">
    <cfRule type="cellIs" dxfId="1" priority="509" operator="equal">
      <formula>0</formula>
    </cfRule>
    <cfRule type="cellIs" dxfId="2" priority="510" operator="lessThan">
      <formula>G21</formula>
    </cfRule>
  </conditionalFormatting>
  <conditionalFormatting sqref="Y24">
    <cfRule type="cellIs" dxfId="1" priority="514" operator="equal">
      <formula>0</formula>
    </cfRule>
    <cfRule type="cellIs" dxfId="2" priority="515" operator="lessThan">
      <formula>G24</formula>
    </cfRule>
  </conditionalFormatting>
  <conditionalFormatting sqref="Y7">
    <cfRule type="cellIs" dxfId="1" priority="491" operator="equal">
      <formula>0</formula>
    </cfRule>
    <cfRule type="cellIs" dxfId="2" priority="492" operator="lessThan">
      <formula>G7</formula>
    </cfRule>
  </conditionalFormatting>
  <conditionalFormatting sqref="Y8">
    <cfRule type="cellIs" dxfId="1" priority="497" operator="equal">
      <formula>0</formula>
    </cfRule>
    <cfRule type="cellIs" dxfId="2" priority="498" operator="lessThan">
      <formula>G8</formula>
    </cfRule>
  </conditionalFormatting>
  <conditionalFormatting sqref="Z12">
    <cfRule type="expression" dxfId="3" priority="505">
      <formula>AND(Z12&gt;0,Z12&lt;10)</formula>
    </cfRule>
    <cfRule type="cellIs" dxfId="1" priority="506" operator="greaterThan">
      <formula>Y12</formula>
    </cfRule>
  </conditionalFormatting>
  <conditionalFormatting sqref="Z21">
    <cfRule type="cellIs" dxfId="1" priority="511" operator="greaterThan">
      <formula>Y21</formula>
    </cfRule>
  </conditionalFormatting>
  <conditionalFormatting sqref="Z24">
    <cfRule type="cellIs" dxfId="1" priority="516" operator="greaterThan">
      <formula>Y24</formula>
    </cfRule>
  </conditionalFormatting>
  <conditionalFormatting sqref="Z7">
    <cfRule type="expression" dxfId="3" priority="493">
      <formula>AND(Z7&gt;0,Z7&lt;20)</formula>
    </cfRule>
    <cfRule type="cellIs" dxfId="1" priority="494" operator="greaterThan">
      <formula>Y7</formula>
    </cfRule>
  </conditionalFormatting>
  <conditionalFormatting sqref="Z8">
    <cfRule type="expression" dxfId="3" priority="499">
      <formula>AND(Z8&gt;0,Z8&lt;10)</formula>
    </cfRule>
    <cfRule type="cellIs" dxfId="1" priority="500" operator="greaterThan">
      <formula>Y8</formula>
    </cfRule>
  </conditionalFormatting>
  <hyperlinks>
    <hyperlink ref="F7" r:id="rId1"/>
    <hyperlink ref="S7" r:id="rId2"/>
    <hyperlink ref="X7" r:id="rId3"/>
    <hyperlink ref="AC7" r:id="rId4"/>
    <hyperlink ref="AM7" r:id="rId5"/>
    <hyperlink ref="AR7" r:id="rId6"/>
    <hyperlink ref="S8" r:id="rId7"/>
    <hyperlink ref="AC8" r:id="rId8"/>
    <hyperlink ref="AH8" r:id="rId9"/>
    <hyperlink ref="S9" r:id="rId10"/>
    <hyperlink ref="AH9" r:id="rId11"/>
    <hyperlink ref="F10" r:id="rId12"/>
    <hyperlink ref="S10" r:id="rId13"/>
    <hyperlink ref="S11" r:id="rId14"/>
    <hyperlink ref="AH11" r:id="rId15"/>
    <hyperlink ref="S12" r:id="rId16"/>
    <hyperlink ref="AC12" r:id="rId17"/>
    <hyperlink ref="AH12" r:id="rId18"/>
    <hyperlink ref="AR12" r:id="rId19"/>
    <hyperlink ref="AW12" r:id="rId20"/>
    <hyperlink ref="S13" r:id="rId21"/>
    <hyperlink ref="AH13" r:id="rId22"/>
    <hyperlink ref="AR13" r:id="rId23"/>
    <hyperlink ref="S14" r:id="rId24"/>
    <hyperlink ref="X14" r:id="rId25"/>
    <hyperlink ref="AH14" r:id="rId26"/>
    <hyperlink ref="AR14" r:id="rId27"/>
    <hyperlink ref="S15" r:id="rId28"/>
    <hyperlink ref="X15" r:id="rId29"/>
    <hyperlink ref="AH15" r:id="rId30"/>
    <hyperlink ref="AM15" r:id="rId31"/>
    <hyperlink ref="AR15" r:id="rId32"/>
    <hyperlink ref="S16" r:id="rId33"/>
    <hyperlink ref="X16" r:id="rId34"/>
    <hyperlink ref="AH16" r:id="rId35"/>
    <hyperlink ref="AM16" r:id="rId36"/>
    <hyperlink ref="AR16" r:id="rId37"/>
    <hyperlink ref="F17" r:id="rId38"/>
    <hyperlink ref="S17" r:id="rId39"/>
    <hyperlink ref="X17" r:id="rId40"/>
    <hyperlink ref="AH17" r:id="rId41"/>
    <hyperlink ref="AM17" r:id="rId42"/>
    <hyperlink ref="S18" r:id="rId43"/>
    <hyperlink ref="F19" r:id="rId44"/>
    <hyperlink ref="S19" r:id="rId45"/>
    <hyperlink ref="AM19" r:id="rId46"/>
    <hyperlink ref="S20" r:id="rId47"/>
    <hyperlink ref="X20" r:id="rId48"/>
    <hyperlink ref="AH20" r:id="rId49"/>
    <hyperlink ref="AM20" r:id="rId50"/>
    <hyperlink ref="S21" r:id="rId51"/>
    <hyperlink ref="X21" r:id="rId52"/>
    <hyperlink ref="AC21" r:id="rId53"/>
    <hyperlink ref="AH21" r:id="rId54"/>
    <hyperlink ref="AM21" r:id="rId55"/>
    <hyperlink ref="AR21" r:id="rId56"/>
    <hyperlink ref="AW21" r:id="rId57"/>
    <hyperlink ref="F22" r:id="rId58"/>
    <hyperlink ref="S22" r:id="rId59"/>
    <hyperlink ref="AH22" r:id="rId60"/>
    <hyperlink ref="F23" r:id="rId61"/>
    <hyperlink ref="S23" r:id="rId62"/>
    <hyperlink ref="X23" r:id="rId63"/>
    <hyperlink ref="AM23" r:id="rId64"/>
    <hyperlink ref="S24" r:id="rId65"/>
    <hyperlink ref="X24" r:id="rId66"/>
    <hyperlink ref="AC24" r:id="rId67"/>
    <hyperlink ref="AH24" r:id="rId68"/>
    <hyperlink ref="AM24" r:id="rId69"/>
    <hyperlink ref="F26" r:id="rId70"/>
    <hyperlink ref="S26" r:id="rId71"/>
    <hyperlink ref="X26" r:id="rId72"/>
    <hyperlink ref="AH26" r:id="rId73"/>
    <hyperlink ref="AM26" r:id="rId74"/>
    <hyperlink ref="AR26" r:id="rId75"/>
    <hyperlink ref="AW26" r:id="rId76"/>
    <hyperlink ref="S27" r:id="rId77"/>
    <hyperlink ref="AH27" r:id="rId78"/>
    <hyperlink ref="S28" r:id="rId79"/>
    <hyperlink ref="X28" r:id="rId80"/>
    <hyperlink ref="AH28" r:id="rId81"/>
    <hyperlink ref="AM28" r:id="rId82"/>
    <hyperlink ref="AR28" r:id="rId83"/>
    <hyperlink ref="AW28" r:id="rId84"/>
    <hyperlink ref="S29" r:id="rId85"/>
    <hyperlink ref="X29" r:id="rId86"/>
    <hyperlink ref="AH29" r:id="rId87"/>
    <hyperlink ref="AM29" r:id="rId88"/>
    <hyperlink ref="AR29" r:id="rId89"/>
    <hyperlink ref="AW29" r:id="rId90"/>
    <hyperlink ref="S30" r:id="rId91"/>
    <hyperlink ref="X30" r:id="rId92"/>
    <hyperlink ref="AH30" r:id="rId93"/>
    <hyperlink ref="AM30" r:id="rId94"/>
    <hyperlink ref="AW30" r:id="rId95"/>
    <hyperlink ref="S31" r:id="rId96"/>
    <hyperlink ref="X31" r:id="rId97"/>
    <hyperlink ref="AH31" r:id="rId98"/>
    <hyperlink ref="AM31" r:id="rId99"/>
    <hyperlink ref="S32" r:id="rId100"/>
    <hyperlink ref="X32" r:id="rId101"/>
    <hyperlink ref="AH32" r:id="rId102"/>
    <hyperlink ref="AM32" r:id="rId103"/>
    <hyperlink ref="AW32" r:id="rId104"/>
    <hyperlink ref="F33" r:id="rId105"/>
    <hyperlink ref="S33" r:id="rId106"/>
    <hyperlink ref="X33" r:id="rId107"/>
    <hyperlink ref="AH33" r:id="rId108"/>
    <hyperlink ref="AM33" r:id="rId109"/>
    <hyperlink ref="AW33" r:id="rId110"/>
    <hyperlink ref="F34" r:id="rId111"/>
    <hyperlink ref="S34" r:id="rId112"/>
    <hyperlink ref="X34" r:id="rId113"/>
    <hyperlink ref="AH34" r:id="rId114"/>
    <hyperlink ref="AM34" r:id="rId115"/>
    <hyperlink ref="AR34" r:id="rId116"/>
    <hyperlink ref="AW34" r:id="rId117"/>
    <hyperlink ref="S35" r:id="rId118"/>
    <hyperlink ref="S36" r:id="rId119"/>
    <hyperlink ref="X36" r:id="rId120"/>
    <hyperlink ref="AH36" r:id="rId121"/>
    <hyperlink ref="AM36" r:id="rId122"/>
    <hyperlink ref="AR36" r:id="rId123"/>
    <hyperlink ref="AW36" r:id="rId124"/>
    <hyperlink ref="S37" r:id="rId125"/>
    <hyperlink ref="X37" r:id="rId126"/>
    <hyperlink ref="AH37" r:id="rId127"/>
    <hyperlink ref="AM37" r:id="rId128"/>
    <hyperlink ref="AR37" r:id="rId129"/>
    <hyperlink ref="AW37" r:id="rId130"/>
    <hyperlink ref="S38" r:id="rId131"/>
    <hyperlink ref="S40" r:id="rId132"/>
    <hyperlink ref="AH40" r:id="rId133"/>
    <hyperlink ref="AR40" r:id="rId134"/>
    <hyperlink ref="F42" r:id="rId135"/>
    <hyperlink ref="S42" r:id="rId136"/>
    <hyperlink ref="X42" r:id="rId137"/>
    <hyperlink ref="AH42" r:id="rId138"/>
    <hyperlink ref="AM42" r:id="rId139"/>
    <hyperlink ref="AR42" r:id="rId140"/>
    <hyperlink ref="AW42" r:id="rId141"/>
    <hyperlink ref="F43" r:id="rId142"/>
    <hyperlink ref="S43" r:id="rId143"/>
    <hyperlink ref="F44" r:id="rId144"/>
    <hyperlink ref="S44" r:id="rId145"/>
    <hyperlink ref="X44" r:id="rId146"/>
    <hyperlink ref="F45" r:id="rId147"/>
    <hyperlink ref="S45" r:id="rId148"/>
    <hyperlink ref="X45" r:id="rId149"/>
    <hyperlink ref="AH45" r:id="rId150"/>
    <hyperlink ref="AM45" r:id="rId151"/>
    <hyperlink ref="F46" r:id="rId152"/>
    <hyperlink ref="S46" r:id="rId153"/>
    <hyperlink ref="X46" r:id="rId154"/>
    <hyperlink ref="AH46" r:id="rId155"/>
    <hyperlink ref="AM46" r:id="rId156"/>
    <hyperlink ref="S48" r:id="rId157"/>
    <hyperlink ref="AR48" r:id="rId158"/>
  </hyperlinks>
  <pageMargins left="0.7" right="0.7" top="0.75" bottom="0.75" header="0.3" footer="0.3"/>
  <legacyDrawing r:id="rId15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13</vt:i4>
      </vt:variant>
    </vt:vector>
  </HeadingPairs>
  <TitlesOfParts>
    <vt:vector size="14" baseType="lpstr">
      <vt:lpstr>customBoard. </vt:lpstr>
      <vt:lpstr>arrow_part_data</vt:lpstr>
      <vt:lpstr>BoardQty</vt:lpstr>
      <vt:lpstr>digikey_part_data</vt:lpstr>
      <vt:lpstr>farnell_part_data</vt:lpstr>
      <vt:lpstr>global_part_data</vt:lpstr>
      <vt:lpstr>lcsc_part_data</vt:lpstr>
      <vt:lpstr>mouser_part_data</vt:lpstr>
      <vt:lpstr>newark_part_data</vt:lpstr>
      <vt:lpstr>PURCHASE_DESCRIPTION</vt:lpstr>
      <vt:lpstr>rs_part_data</vt:lpstr>
      <vt:lpstr>tme_part_data</vt:lpstr>
      <vt:lpstr>TotalCost</vt:lpstr>
      <vt:lpstr>USD_GBP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2021-10-24T02:59:16Z</dcterms:created>
  <dcterms:modified xsi:type="dcterms:W3CDTF">2021-10-24T02:59:16Z</dcterms:modified>
</cp:coreProperties>
</file>