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drawings/drawing1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alexsteiny/Dropbox/forecastExp/Data Analysis/Analysis/behavioral/"/>
    </mc:Choice>
  </mc:AlternateContent>
  <bookViews>
    <workbookView xWindow="4400" yWindow="460" windowWidth="24400" windowHeight="15860"/>
  </bookViews>
  <sheets>
    <sheet name="Table1Treatments" sheetId="5" r:id="rId1"/>
    <sheet name="Table2SumStatsExperts" sheetId="3" r:id="rId2"/>
    <sheet name="Table3EffortForecasts" sheetId="6" r:id="rId3"/>
    <sheet name="Table4MetaAnalysis" sheetId="32" r:id="rId4"/>
    <sheet name="Table5StrEst" sheetId="8" r:id="rId5"/>
    <sheet name="Table6StrEstRefDepNLS" sheetId="21" r:id="rId6"/>
    <sheet name="OnlAppTable1SumStatsMTurk" sheetId="4" r:id="rId7"/>
    <sheet name="OnlAppTable2MetaAnalysis" sheetId="31" r:id="rId8"/>
    <sheet name="OnlAppTableNotesPanelE" sheetId="34" r:id="rId9"/>
    <sheet name="OnlAppTable3MetaAnalysisTheory" sheetId="33" r:id="rId10"/>
    <sheet name="OnlAppTable4StrEstRobust" sheetId="26" r:id="rId11"/>
    <sheet name="Beh Fig3" sheetId="43" r:id="rId12"/>
    <sheet name="Beh Fig5" sheetId="45" r:id="rId13"/>
    <sheet name="Fig6 Data" sheetId="58" r:id="rId14"/>
    <sheet name="Fig6a" sheetId="63" r:id="rId15"/>
    <sheet name="Fig6b" sheetId="60" r:id="rId16"/>
    <sheet name="Fig6c" sheetId="61" r:id="rId17"/>
    <sheet name="Fig6d" sheetId="62" r:id="rId18"/>
    <sheet name="Beh Fig7" sheetId="47" r:id="rId19"/>
    <sheet name="Beh OAFig6" sheetId="48" r:id="rId20"/>
  </sheets>
  <definedNames>
    <definedName name="_xlnm.Print_Area" localSheetId="11">'Beh Fig3'!$H$1:$V$39</definedName>
    <definedName name="_xlnm.Print_Area" localSheetId="12">'Beh Fig5'!$G$1:$U$39</definedName>
    <definedName name="_xlnm.Print_Area" localSheetId="18">'Beh Fig7'!$J$1:$X$40</definedName>
    <definedName name="_xlnm.Print_Area" localSheetId="19">'Beh OAFig6'!$G$1:$U$40</definedName>
    <definedName name="_xlnm.Print_Area" localSheetId="6">OnlAppTable1SumStatsMTurk!$A$1:$E$40</definedName>
    <definedName name="_xlnm.Print_Area" localSheetId="0">Table1Treatments!$B$3:$E$24</definedName>
    <definedName name="_xlnm.Print_Area" localSheetId="1">Table2SumStatsExperts!$A$1:$E$45</definedName>
    <definedName name="_xlnm.Print_Area" localSheetId="2">Table3EffortForecasts!$B$3:$H$24</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U104" i="31" l="1"/>
  <c r="S104" i="31"/>
  <c r="W104" i="31"/>
  <c r="P104" i="31"/>
  <c r="Y104" i="31"/>
  <c r="Z104" i="31"/>
  <c r="V104" i="31"/>
  <c r="U103" i="31"/>
  <c r="S103" i="31"/>
  <c r="W103" i="31"/>
  <c r="P103" i="31"/>
  <c r="X103" i="31"/>
  <c r="Y103" i="31"/>
  <c r="BQ102" i="31"/>
  <c r="AF102" i="31"/>
  <c r="R102" i="31"/>
  <c r="O102" i="31"/>
  <c r="U102" i="31"/>
  <c r="P102" i="31"/>
  <c r="S102" i="31"/>
  <c r="Y102" i="31"/>
  <c r="U96" i="31"/>
  <c r="X96" i="31"/>
  <c r="AA96" i="31"/>
  <c r="AB96" i="31"/>
  <c r="AC96" i="31"/>
  <c r="U97" i="31"/>
  <c r="X97" i="31"/>
  <c r="U98" i="31"/>
  <c r="X98" i="31"/>
  <c r="AA98" i="31"/>
  <c r="AB98" i="31"/>
  <c r="AC98" i="31"/>
  <c r="U99" i="31"/>
  <c r="X99" i="31"/>
  <c r="AA99" i="31"/>
  <c r="AB99" i="31"/>
  <c r="AC99" i="31"/>
  <c r="U100" i="31"/>
  <c r="P100" i="31"/>
  <c r="W100" i="31"/>
  <c r="S100" i="31"/>
  <c r="R101" i="31"/>
  <c r="U101" i="31"/>
  <c r="S101" i="31"/>
  <c r="X101" i="31"/>
  <c r="AA101" i="31"/>
  <c r="AB101" i="31"/>
  <c r="AC101" i="31"/>
  <c r="AF101" i="31"/>
  <c r="W101" i="31"/>
  <c r="AF100" i="31"/>
  <c r="V100" i="31"/>
  <c r="AF99" i="31"/>
  <c r="Y99" i="31"/>
  <c r="W99" i="31"/>
  <c r="AF98" i="31"/>
  <c r="Y98" i="31"/>
  <c r="W98" i="31"/>
  <c r="V98" i="31"/>
  <c r="AF97" i="31"/>
  <c r="Y97" i="31"/>
  <c r="W97" i="31"/>
  <c r="AF96" i="31"/>
  <c r="Y96" i="31"/>
  <c r="Z96" i="31"/>
  <c r="W96" i="31"/>
  <c r="V96" i="31"/>
  <c r="U95" i="31"/>
  <c r="S95" i="31"/>
  <c r="P95" i="31"/>
  <c r="X95" i="31"/>
  <c r="AA95" i="31"/>
  <c r="AB95" i="31"/>
  <c r="AZ93" i="31"/>
  <c r="W95" i="31"/>
  <c r="U94" i="31"/>
  <c r="S94" i="31"/>
  <c r="P94" i="31"/>
  <c r="X94" i="31"/>
  <c r="AA94" i="31"/>
  <c r="Y94" i="31"/>
  <c r="W94" i="31"/>
  <c r="BQ93" i="31"/>
  <c r="AF93" i="31"/>
  <c r="T93" i="31"/>
  <c r="Y93" i="31"/>
  <c r="U93" i="31"/>
  <c r="X93" i="31"/>
  <c r="AA93" i="31"/>
  <c r="AB93" i="31"/>
  <c r="AC93" i="31"/>
  <c r="U89" i="31"/>
  <c r="W89" i="31"/>
  <c r="X89" i="31"/>
  <c r="AA89" i="31"/>
  <c r="AB89" i="31"/>
  <c r="AC89" i="31"/>
  <c r="U90" i="31"/>
  <c r="X90" i="31"/>
  <c r="AA90" i="31"/>
  <c r="AB90" i="31"/>
  <c r="AC90" i="31"/>
  <c r="AC91" i="31"/>
  <c r="U92" i="31"/>
  <c r="X92" i="31"/>
  <c r="Z93" i="31"/>
  <c r="W93" i="31"/>
  <c r="V93" i="31"/>
  <c r="AF92" i="31"/>
  <c r="Y92" i="31"/>
  <c r="Z92" i="31"/>
  <c r="V92" i="31"/>
  <c r="AF91" i="31"/>
  <c r="AF90" i="31"/>
  <c r="Y90" i="31"/>
  <c r="Z90" i="31"/>
  <c r="W90" i="31"/>
  <c r="V90" i="31"/>
  <c r="AF89" i="31"/>
  <c r="Y89" i="31"/>
  <c r="Z89" i="31"/>
  <c r="V89" i="31"/>
  <c r="U88" i="31"/>
  <c r="S88" i="31"/>
  <c r="P88" i="31"/>
  <c r="V88" i="31"/>
  <c r="U87" i="31"/>
  <c r="S87" i="31"/>
  <c r="P87" i="31"/>
  <c r="V87" i="31"/>
  <c r="BQ86" i="31"/>
  <c r="AF86" i="31"/>
  <c r="R86" i="31"/>
  <c r="U86" i="31"/>
  <c r="P86" i="31"/>
  <c r="W86" i="31"/>
  <c r="S86" i="31"/>
  <c r="R83" i="31"/>
  <c r="O83" i="31"/>
  <c r="U83" i="31"/>
  <c r="P83" i="31"/>
  <c r="S83" i="31"/>
  <c r="Y83" i="31"/>
  <c r="X83" i="31"/>
  <c r="R84" i="31"/>
  <c r="O84" i="31"/>
  <c r="U84" i="31"/>
  <c r="P84" i="31"/>
  <c r="S84" i="31"/>
  <c r="Y84" i="31"/>
  <c r="R85" i="31"/>
  <c r="O85" i="31"/>
  <c r="S85" i="31"/>
  <c r="V86" i="31"/>
  <c r="AF85" i="31"/>
  <c r="AF84" i="31"/>
  <c r="Z84" i="31"/>
  <c r="AF83" i="31"/>
  <c r="U78" i="31"/>
  <c r="S78" i="31"/>
  <c r="P78" i="31"/>
  <c r="X78" i="31"/>
  <c r="AA78" i="31"/>
  <c r="AX76" i="31"/>
  <c r="AB78" i="31"/>
  <c r="AZ76" i="31"/>
  <c r="V78" i="31"/>
  <c r="U77" i="31"/>
  <c r="S77" i="31"/>
  <c r="P77" i="31"/>
  <c r="X77" i="31"/>
  <c r="AA77" i="31"/>
  <c r="V77" i="31"/>
  <c r="BQ76" i="31"/>
  <c r="AF76" i="31"/>
  <c r="U76" i="31"/>
  <c r="P76" i="31"/>
  <c r="S76" i="31"/>
  <c r="U62" i="31"/>
  <c r="P62" i="31"/>
  <c r="W62" i="31"/>
  <c r="S62" i="31"/>
  <c r="X62" i="31"/>
  <c r="AA62" i="31"/>
  <c r="AB62" i="31"/>
  <c r="AC62" i="31"/>
  <c r="U63" i="31"/>
  <c r="P63" i="31"/>
  <c r="S63" i="31"/>
  <c r="Y63" i="31"/>
  <c r="X63" i="31"/>
  <c r="AA63" i="31"/>
  <c r="AB63" i="31"/>
  <c r="AC63" i="31"/>
  <c r="U64" i="31"/>
  <c r="P64" i="31"/>
  <c r="W64" i="31"/>
  <c r="S64" i="31"/>
  <c r="X64" i="31"/>
  <c r="AA64" i="31"/>
  <c r="AB64" i="31"/>
  <c r="AC64" i="31"/>
  <c r="U65" i="31"/>
  <c r="P65" i="31"/>
  <c r="S65" i="31"/>
  <c r="Y65" i="31"/>
  <c r="U66" i="31"/>
  <c r="P66" i="31"/>
  <c r="W66" i="31"/>
  <c r="S66" i="31"/>
  <c r="X66" i="31"/>
  <c r="AA66" i="31"/>
  <c r="AB66" i="31"/>
  <c r="AC66" i="31"/>
  <c r="Y66" i="31"/>
  <c r="U67" i="31"/>
  <c r="P67" i="31"/>
  <c r="S67" i="31"/>
  <c r="X67" i="31"/>
  <c r="AA67" i="31"/>
  <c r="AB67" i="31"/>
  <c r="AC67" i="31"/>
  <c r="U68" i="31"/>
  <c r="P68" i="31"/>
  <c r="W68" i="31"/>
  <c r="S68" i="31"/>
  <c r="U69" i="31"/>
  <c r="P69" i="31"/>
  <c r="S69" i="31"/>
  <c r="U70" i="31"/>
  <c r="P70" i="31"/>
  <c r="W70" i="31"/>
  <c r="S70" i="31"/>
  <c r="X70" i="31"/>
  <c r="Y70" i="31"/>
  <c r="AA70" i="31"/>
  <c r="AB70" i="31"/>
  <c r="AC70" i="31"/>
  <c r="U71" i="31"/>
  <c r="P71" i="31"/>
  <c r="S71" i="31"/>
  <c r="X71" i="31"/>
  <c r="AA71" i="31"/>
  <c r="AB71" i="31"/>
  <c r="AC71" i="31"/>
  <c r="U72" i="31"/>
  <c r="P72" i="31"/>
  <c r="W72" i="31"/>
  <c r="S72" i="31"/>
  <c r="U73" i="31"/>
  <c r="P73" i="31"/>
  <c r="S73" i="31"/>
  <c r="U74" i="31"/>
  <c r="P74" i="31"/>
  <c r="W74" i="31"/>
  <c r="S74" i="31"/>
  <c r="X74" i="31"/>
  <c r="Y74" i="31"/>
  <c r="AA74" i="31"/>
  <c r="AB74" i="31"/>
  <c r="AC74" i="31"/>
  <c r="T75" i="31"/>
  <c r="R75" i="31"/>
  <c r="P75" i="31"/>
  <c r="V76" i="31"/>
  <c r="AF75" i="31"/>
  <c r="AF74" i="31"/>
  <c r="Z74" i="31"/>
  <c r="V74" i="31"/>
  <c r="AF73" i="31"/>
  <c r="V73" i="31"/>
  <c r="AF72" i="31"/>
  <c r="V72" i="31"/>
  <c r="AF71" i="31"/>
  <c r="V71" i="31"/>
  <c r="AF70" i="31"/>
  <c r="Z70" i="31"/>
  <c r="V70" i="31"/>
  <c r="AF69" i="31"/>
  <c r="V69" i="31"/>
  <c r="AF68" i="31"/>
  <c r="V68" i="31"/>
  <c r="AF67" i="31"/>
  <c r="V67" i="31"/>
  <c r="AF66" i="31"/>
  <c r="Z66" i="31"/>
  <c r="V66" i="31"/>
  <c r="AF65" i="31"/>
  <c r="Z65" i="31"/>
  <c r="W65" i="31"/>
  <c r="V65" i="31"/>
  <c r="AF64" i="31"/>
  <c r="Y64" i="31"/>
  <c r="Z64" i="31"/>
  <c r="V64" i="31"/>
  <c r="AF63" i="31"/>
  <c r="Z63" i="31"/>
  <c r="W63" i="31"/>
  <c r="V63" i="31"/>
  <c r="AF62" i="31"/>
  <c r="Y62" i="31"/>
  <c r="Z62" i="31"/>
  <c r="V62" i="31"/>
  <c r="U57" i="31"/>
  <c r="S57" i="31"/>
  <c r="W57" i="31"/>
  <c r="P57" i="31"/>
  <c r="Y57" i="31"/>
  <c r="X57" i="31"/>
  <c r="AA57" i="31"/>
  <c r="Z57" i="31"/>
  <c r="V57" i="31"/>
  <c r="U56" i="31"/>
  <c r="S56" i="31"/>
  <c r="W56" i="31"/>
  <c r="P56" i="31"/>
  <c r="X56" i="31"/>
  <c r="AA56" i="31"/>
  <c r="AB56" i="31"/>
  <c r="AU55" i="31"/>
  <c r="V56" i="31"/>
  <c r="BQ55" i="31"/>
  <c r="AF55" i="31"/>
  <c r="R55" i="31"/>
  <c r="O55" i="31"/>
  <c r="U55" i="31"/>
  <c r="P55" i="31"/>
  <c r="W55" i="31"/>
  <c r="S55" i="31"/>
  <c r="X55" i="31"/>
  <c r="AA55" i="31"/>
  <c r="AB55" i="31"/>
  <c r="AC55" i="31"/>
  <c r="R42" i="31"/>
  <c r="S42" i="31"/>
  <c r="O42" i="31"/>
  <c r="P42" i="31"/>
  <c r="U42" i="31"/>
  <c r="W42" i="31"/>
  <c r="Q43" i="31"/>
  <c r="T43" i="31"/>
  <c r="Y43" i="31"/>
  <c r="U43" i="31"/>
  <c r="X43" i="31"/>
  <c r="AA43" i="31"/>
  <c r="AB43" i="31"/>
  <c r="AC43" i="31"/>
  <c r="R44" i="31"/>
  <c r="O44" i="31"/>
  <c r="U44" i="31"/>
  <c r="P44" i="31"/>
  <c r="W44" i="31"/>
  <c r="S44" i="31"/>
  <c r="U45" i="31"/>
  <c r="X45" i="31"/>
  <c r="AA45" i="31"/>
  <c r="AB45" i="31"/>
  <c r="AC45" i="31"/>
  <c r="U46" i="31"/>
  <c r="W46" i="31"/>
  <c r="X46" i="31"/>
  <c r="U47" i="31"/>
  <c r="X47" i="31"/>
  <c r="AA47" i="31"/>
  <c r="AB47" i="31"/>
  <c r="AC47" i="31"/>
  <c r="U48" i="31"/>
  <c r="W48" i="31"/>
  <c r="X48" i="31"/>
  <c r="AA48" i="31"/>
  <c r="AB48" i="31"/>
  <c r="AC48" i="31"/>
  <c r="U49" i="31"/>
  <c r="X49" i="31"/>
  <c r="U50" i="31"/>
  <c r="W50" i="31"/>
  <c r="X50" i="31"/>
  <c r="AA50" i="31"/>
  <c r="AB50" i="31"/>
  <c r="AC50" i="31"/>
  <c r="R51" i="31"/>
  <c r="O51" i="31"/>
  <c r="U51" i="31"/>
  <c r="P51" i="31"/>
  <c r="S51" i="31"/>
  <c r="Y51" i="31"/>
  <c r="U52" i="31"/>
  <c r="P52" i="31"/>
  <c r="W52" i="31"/>
  <c r="S52" i="31"/>
  <c r="X52" i="31"/>
  <c r="T53" i="31"/>
  <c r="R53" i="31"/>
  <c r="U53" i="31"/>
  <c r="W53" i="31"/>
  <c r="S53" i="31"/>
  <c r="U54" i="31"/>
  <c r="X54" i="31"/>
  <c r="AA54" i="31"/>
  <c r="AB54" i="31"/>
  <c r="AC54" i="31"/>
  <c r="Y55" i="31"/>
  <c r="Z55" i="31"/>
  <c r="V55" i="31"/>
  <c r="AF54" i="31"/>
  <c r="Y54" i="31"/>
  <c r="Z54" i="31"/>
  <c r="W54" i="31"/>
  <c r="V54" i="31"/>
  <c r="AF53" i="31"/>
  <c r="V53" i="31"/>
  <c r="AF52" i="31"/>
  <c r="AF51" i="31"/>
  <c r="Z51" i="31"/>
  <c r="AF50" i="31"/>
  <c r="Y50" i="31"/>
  <c r="Z50" i="31"/>
  <c r="V50" i="31"/>
  <c r="AF49" i="31"/>
  <c r="Y49" i="31"/>
  <c r="Z49" i="31"/>
  <c r="V49" i="31"/>
  <c r="AF48" i="31"/>
  <c r="Y48" i="31"/>
  <c r="Z48" i="31"/>
  <c r="V48" i="31"/>
  <c r="AF47" i="31"/>
  <c r="Y47" i="31"/>
  <c r="Z47" i="31"/>
  <c r="W47" i="31"/>
  <c r="V47" i="31"/>
  <c r="AF46" i="31"/>
  <c r="Y46" i="31"/>
  <c r="V46" i="31"/>
  <c r="AF45" i="31"/>
  <c r="Y45" i="31"/>
  <c r="Z45" i="31"/>
  <c r="W45" i="31"/>
  <c r="V45" i="31"/>
  <c r="AF44" i="31"/>
  <c r="AF43" i="31"/>
  <c r="Z43" i="31"/>
  <c r="W43" i="31"/>
  <c r="V43" i="31"/>
  <c r="AF42" i="31"/>
  <c r="U36" i="31"/>
  <c r="S36" i="31"/>
  <c r="P36" i="31"/>
  <c r="V36" i="31"/>
  <c r="U35" i="31"/>
  <c r="S35" i="31"/>
  <c r="P35" i="31"/>
  <c r="V35" i="31"/>
  <c r="BM34" i="31"/>
  <c r="BQ34" i="31"/>
  <c r="AF34" i="31"/>
  <c r="R34" i="31"/>
  <c r="O34" i="31"/>
  <c r="U34" i="31"/>
  <c r="V34" i="31"/>
  <c r="P34" i="31"/>
  <c r="S34" i="31"/>
  <c r="Y34" i="31"/>
  <c r="U30" i="31"/>
  <c r="X30" i="31"/>
  <c r="AA30" i="31"/>
  <c r="AB30" i="31"/>
  <c r="AC30" i="31"/>
  <c r="U31" i="31"/>
  <c r="Y31" i="31"/>
  <c r="Z31" i="31"/>
  <c r="X31" i="31"/>
  <c r="U32" i="31"/>
  <c r="X32" i="31"/>
  <c r="U33" i="31"/>
  <c r="Y33" i="31"/>
  <c r="Z33" i="31"/>
  <c r="X33" i="31"/>
  <c r="AF33" i="31"/>
  <c r="V33" i="31"/>
  <c r="AF32" i="31"/>
  <c r="Y32" i="31"/>
  <c r="W32" i="31"/>
  <c r="AF31" i="31"/>
  <c r="W31" i="31"/>
  <c r="AF30" i="31"/>
  <c r="Y30" i="31"/>
  <c r="Z30" i="31"/>
  <c r="W30" i="31"/>
  <c r="V30" i="31"/>
  <c r="U29" i="31"/>
  <c r="S29" i="31"/>
  <c r="P29" i="31"/>
  <c r="X29" i="31"/>
  <c r="Y29" i="31"/>
  <c r="U28" i="31"/>
  <c r="V28" i="31"/>
  <c r="S28" i="31"/>
  <c r="P28" i="31"/>
  <c r="X28" i="31"/>
  <c r="AA28" i="31"/>
  <c r="AB28" i="31"/>
  <c r="AU27" i="31"/>
  <c r="Y28" i="31"/>
  <c r="BQ27" i="31"/>
  <c r="AS27" i="31"/>
  <c r="AF27" i="31"/>
  <c r="R27" i="31"/>
  <c r="O27" i="31"/>
  <c r="U27" i="31"/>
  <c r="P27" i="31"/>
  <c r="S27" i="31"/>
  <c r="Y27" i="31"/>
  <c r="U23" i="31"/>
  <c r="X23" i="31"/>
  <c r="AA23" i="31"/>
  <c r="AB23" i="31"/>
  <c r="AC23" i="31"/>
  <c r="U24" i="31"/>
  <c r="P24" i="31"/>
  <c r="W24" i="31"/>
  <c r="S24" i="31"/>
  <c r="X24" i="31"/>
  <c r="AA24" i="31"/>
  <c r="AB24" i="31"/>
  <c r="AC24" i="31"/>
  <c r="U25" i="31"/>
  <c r="X25" i="31"/>
  <c r="AA25" i="31"/>
  <c r="AB25" i="31"/>
  <c r="AC25" i="31"/>
  <c r="U26" i="31"/>
  <c r="X26" i="31"/>
  <c r="AA26" i="31"/>
  <c r="AB26" i="31"/>
  <c r="AC26" i="31"/>
  <c r="V27" i="31"/>
  <c r="AF26" i="31"/>
  <c r="Y26" i="31"/>
  <c r="Z26" i="31"/>
  <c r="AF25" i="31"/>
  <c r="Y25" i="31"/>
  <c r="Z25" i="31"/>
  <c r="W25" i="31"/>
  <c r="V25" i="31"/>
  <c r="AF24" i="31"/>
  <c r="AF23" i="31"/>
  <c r="Y23" i="31"/>
  <c r="Z23" i="31"/>
  <c r="W23" i="31"/>
  <c r="V23" i="31"/>
  <c r="U22" i="31"/>
  <c r="S22" i="31"/>
  <c r="W22" i="31"/>
  <c r="P22" i="31"/>
  <c r="X22" i="31"/>
  <c r="AA22" i="31"/>
  <c r="Y22" i="31"/>
  <c r="Z22" i="31"/>
  <c r="V22" i="31"/>
  <c r="U21" i="31"/>
  <c r="S21" i="31"/>
  <c r="P21" i="31"/>
  <c r="Y21" i="31"/>
  <c r="V21" i="31"/>
  <c r="BQ20" i="31"/>
  <c r="AF20" i="31"/>
  <c r="R20" i="31"/>
  <c r="O20" i="31"/>
  <c r="U20" i="31"/>
  <c r="P20" i="31"/>
  <c r="S20" i="31"/>
  <c r="U16" i="31"/>
  <c r="X16" i="31"/>
  <c r="AA16" i="31"/>
  <c r="AB16" i="31"/>
  <c r="AC16" i="31"/>
  <c r="U17" i="31"/>
  <c r="P17" i="31"/>
  <c r="W17" i="31"/>
  <c r="S17" i="31"/>
  <c r="X17" i="31"/>
  <c r="AA17" i="31"/>
  <c r="AB17" i="31"/>
  <c r="AC17" i="31"/>
  <c r="Q18" i="31"/>
  <c r="T18" i="31"/>
  <c r="U18" i="31"/>
  <c r="U19" i="31"/>
  <c r="X19" i="31"/>
  <c r="AA19" i="31"/>
  <c r="AB19" i="31"/>
  <c r="AC19" i="31"/>
  <c r="AF19" i="31"/>
  <c r="Y19" i="31"/>
  <c r="Z19" i="31"/>
  <c r="AF18" i="31"/>
  <c r="W18" i="31"/>
  <c r="V18" i="31"/>
  <c r="AF17" i="31"/>
  <c r="Y17" i="31"/>
  <c r="Z17" i="31"/>
  <c r="V17" i="31"/>
  <c r="AF16" i="31"/>
  <c r="Y16" i="31"/>
  <c r="V16" i="31"/>
  <c r="U15" i="31"/>
  <c r="P15" i="31"/>
  <c r="W15" i="31"/>
  <c r="S15" i="31"/>
  <c r="X15" i="31"/>
  <c r="AA15" i="31"/>
  <c r="Y15" i="31"/>
  <c r="Z15" i="31"/>
  <c r="V15" i="31"/>
  <c r="U14" i="31"/>
  <c r="P14" i="31"/>
  <c r="S14" i="31"/>
  <c r="Y14" i="31"/>
  <c r="V14" i="31"/>
  <c r="BQ13" i="31"/>
  <c r="AF13" i="31"/>
  <c r="U13" i="31"/>
  <c r="X13" i="31"/>
  <c r="AA13" i="31"/>
  <c r="AB13" i="31"/>
  <c r="AC13" i="31"/>
  <c r="U6" i="31"/>
  <c r="X6" i="31"/>
  <c r="AA6" i="31"/>
  <c r="AB6" i="31"/>
  <c r="AC6" i="31"/>
  <c r="U7" i="31"/>
  <c r="X7" i="31"/>
  <c r="AA7" i="31"/>
  <c r="AB7" i="31"/>
  <c r="AC7" i="31"/>
  <c r="R8" i="31"/>
  <c r="O8" i="31"/>
  <c r="P8" i="31"/>
  <c r="U8" i="31"/>
  <c r="S8" i="31"/>
  <c r="U9" i="31"/>
  <c r="X9" i="31"/>
  <c r="AA9" i="31"/>
  <c r="AB9" i="31"/>
  <c r="AC9" i="31"/>
  <c r="U10" i="31"/>
  <c r="X10" i="31"/>
  <c r="AA10" i="31"/>
  <c r="AB10" i="31"/>
  <c r="AC10" i="31"/>
  <c r="R11" i="31"/>
  <c r="U11" i="31"/>
  <c r="P11" i="31"/>
  <c r="W11" i="31"/>
  <c r="S11" i="31"/>
  <c r="X11" i="31"/>
  <c r="AA11" i="31"/>
  <c r="AB11" i="31"/>
  <c r="AC11" i="31"/>
  <c r="Y11" i="31"/>
  <c r="Z11" i="31"/>
  <c r="U12" i="31"/>
  <c r="X12" i="31"/>
  <c r="AA12" i="31"/>
  <c r="AB12" i="31"/>
  <c r="AC12" i="31"/>
  <c r="Y13" i="31"/>
  <c r="Z13" i="31"/>
  <c r="AF12" i="31"/>
  <c r="Y12" i="31"/>
  <c r="Z12" i="31"/>
  <c r="W12" i="31"/>
  <c r="V12" i="31"/>
  <c r="AF11" i="31"/>
  <c r="V11" i="31"/>
  <c r="AF10" i="31"/>
  <c r="Y10" i="31"/>
  <c r="V10" i="31"/>
  <c r="AF9" i="31"/>
  <c r="Y9" i="31"/>
  <c r="Z9" i="31"/>
  <c r="AF8" i="31"/>
  <c r="V8" i="31"/>
  <c r="AF7" i="31"/>
  <c r="Y7" i="31"/>
  <c r="Z7" i="31"/>
  <c r="W7" i="31"/>
  <c r="V7" i="31"/>
  <c r="AF6" i="31"/>
  <c r="Y6" i="31"/>
  <c r="V6" i="31"/>
  <c r="I15" i="21"/>
  <c r="H15" i="21"/>
  <c r="G15" i="21"/>
  <c r="E15" i="21"/>
  <c r="D15" i="21"/>
  <c r="C15" i="21"/>
  <c r="G14" i="21"/>
  <c r="G13" i="21"/>
  <c r="H14" i="21"/>
  <c r="H13" i="21"/>
  <c r="I14" i="21"/>
  <c r="I13" i="21"/>
  <c r="D14" i="21"/>
  <c r="D13" i="21"/>
  <c r="C11" i="21"/>
  <c r="L13" i="26"/>
  <c r="I13" i="26"/>
  <c r="F13" i="26"/>
  <c r="F11" i="26"/>
  <c r="C13" i="26"/>
  <c r="C11" i="26"/>
  <c r="C20" i="26"/>
  <c r="E14" i="21"/>
  <c r="C14" i="21"/>
  <c r="E13" i="21"/>
  <c r="D215" i="58"/>
  <c r="B5" i="58"/>
  <c r="B6" i="58"/>
  <c r="U215" i="58"/>
  <c r="T215" i="58"/>
  <c r="S215" i="58"/>
  <c r="R215" i="58"/>
  <c r="P215" i="58"/>
  <c r="O215" i="58"/>
  <c r="N215" i="58"/>
  <c r="L215" i="58"/>
  <c r="K215" i="58"/>
  <c r="J215" i="58"/>
  <c r="I215" i="58"/>
  <c r="G215" i="58"/>
  <c r="F215" i="58"/>
  <c r="E215" i="58"/>
  <c r="E19" i="48"/>
  <c r="E18" i="48"/>
  <c r="E17" i="48"/>
  <c r="E16" i="48"/>
  <c r="E15" i="48"/>
  <c r="E14" i="48"/>
  <c r="E13" i="48"/>
  <c r="E12" i="48"/>
  <c r="E11" i="48"/>
  <c r="E10" i="48"/>
  <c r="E9" i="48"/>
  <c r="E8" i="48"/>
  <c r="E7" i="48"/>
  <c r="E6" i="48"/>
  <c r="E5" i="48"/>
  <c r="E4" i="48"/>
  <c r="E3" i="48"/>
  <c r="E2" i="48"/>
  <c r="C19" i="47"/>
  <c r="C18" i="47"/>
  <c r="C17" i="47"/>
  <c r="C16" i="47"/>
  <c r="C15" i="47"/>
  <c r="C14" i="47"/>
  <c r="C13" i="47"/>
  <c r="C12" i="47"/>
  <c r="C11" i="47"/>
  <c r="C10" i="47"/>
  <c r="C9" i="47"/>
  <c r="C8" i="47"/>
  <c r="C7" i="47"/>
  <c r="C6" i="47"/>
  <c r="C5" i="47"/>
  <c r="C4" i="47"/>
  <c r="C3" i="47"/>
  <c r="C2" i="47"/>
  <c r="C19" i="45"/>
  <c r="C18" i="45"/>
  <c r="C17" i="45"/>
  <c r="C16" i="45"/>
  <c r="C15" i="45"/>
  <c r="C14" i="45"/>
  <c r="C13" i="45"/>
  <c r="C12" i="45"/>
  <c r="C11" i="45"/>
  <c r="C10" i="45"/>
  <c r="C9" i="45"/>
  <c r="C8" i="45"/>
  <c r="C7" i="45"/>
  <c r="C6" i="45"/>
  <c r="C5" i="45"/>
  <c r="C4" i="45"/>
  <c r="C3" i="45"/>
  <c r="C2" i="45"/>
  <c r="F19" i="43"/>
  <c r="C19" i="43"/>
  <c r="F18" i="43"/>
  <c r="C18" i="43"/>
  <c r="F17" i="43"/>
  <c r="C17" i="43"/>
  <c r="F16" i="43"/>
  <c r="C16" i="43"/>
  <c r="F15" i="43"/>
  <c r="C15" i="43"/>
  <c r="F14" i="43"/>
  <c r="C14" i="43"/>
  <c r="F13" i="43"/>
  <c r="C13" i="43"/>
  <c r="F12" i="43"/>
  <c r="C12" i="43"/>
  <c r="F11" i="43"/>
  <c r="C11" i="43"/>
  <c r="F10" i="43"/>
  <c r="C10" i="43"/>
  <c r="F9" i="43"/>
  <c r="C9" i="43"/>
  <c r="F8" i="43"/>
  <c r="C8" i="43"/>
  <c r="F7" i="43"/>
  <c r="C7" i="43"/>
  <c r="F6" i="43"/>
  <c r="C6" i="43"/>
  <c r="F5" i="43"/>
  <c r="C5" i="43"/>
  <c r="F4" i="43"/>
  <c r="C4" i="43"/>
  <c r="F3" i="43"/>
  <c r="C3" i="43"/>
  <c r="F2" i="43"/>
  <c r="C2" i="43"/>
  <c r="K9" i="6"/>
  <c r="M9" i="6"/>
  <c r="J9" i="6"/>
  <c r="L9" i="6"/>
  <c r="K10" i="6"/>
  <c r="M10" i="6"/>
  <c r="K11" i="6"/>
  <c r="M11" i="6"/>
  <c r="J11" i="6"/>
  <c r="L11" i="6"/>
  <c r="H11" i="6"/>
  <c r="K12" i="6"/>
  <c r="M12" i="6"/>
  <c r="K13" i="6"/>
  <c r="M13" i="6"/>
  <c r="K14" i="6"/>
  <c r="M14" i="6"/>
  <c r="K15" i="6"/>
  <c r="M15" i="6"/>
  <c r="J15" i="6"/>
  <c r="L15" i="6"/>
  <c r="H15" i="6"/>
  <c r="K16" i="6"/>
  <c r="M16" i="6"/>
  <c r="K17" i="6"/>
  <c r="M17" i="6"/>
  <c r="J17" i="6"/>
  <c r="L17" i="6"/>
  <c r="H17" i="6"/>
  <c r="K18" i="6"/>
  <c r="M18" i="6"/>
  <c r="K19" i="6"/>
  <c r="M19" i="6"/>
  <c r="J19" i="6"/>
  <c r="L19" i="6"/>
  <c r="H19" i="6"/>
  <c r="K20" i="6"/>
  <c r="M20" i="6"/>
  <c r="J20" i="6"/>
  <c r="L20" i="6"/>
  <c r="H20" i="6"/>
  <c r="K21" i="6"/>
  <c r="M21" i="6"/>
  <c r="J21" i="6"/>
  <c r="L21" i="6"/>
  <c r="K22" i="6"/>
  <c r="M22" i="6"/>
  <c r="K23" i="6"/>
  <c r="M23" i="6"/>
  <c r="J10" i="6"/>
  <c r="L10" i="6"/>
  <c r="J12" i="6"/>
  <c r="L12" i="6"/>
  <c r="J13" i="6"/>
  <c r="L13" i="6"/>
  <c r="J14" i="6"/>
  <c r="L14" i="6"/>
  <c r="J16" i="6"/>
  <c r="L16" i="6"/>
  <c r="H16" i="6"/>
  <c r="J18" i="6"/>
  <c r="L18" i="6"/>
  <c r="H18" i="6"/>
  <c r="J22" i="6"/>
  <c r="L22" i="6"/>
  <c r="H22" i="6"/>
  <c r="J23" i="6"/>
  <c r="L23" i="6"/>
  <c r="J17" i="8"/>
  <c r="M18" i="8"/>
  <c r="G32" i="8"/>
  <c r="L11" i="26"/>
  <c r="I11" i="26"/>
  <c r="G11" i="21"/>
  <c r="I11" i="21"/>
  <c r="H11" i="21"/>
  <c r="E11" i="21"/>
  <c r="D11" i="21"/>
  <c r="I8" i="21"/>
  <c r="G29" i="8"/>
  <c r="H18" i="8"/>
  <c r="C18" i="8"/>
  <c r="H17" i="8"/>
  <c r="C17" i="8"/>
  <c r="F20" i="26"/>
  <c r="F19" i="26"/>
  <c r="L19" i="26"/>
  <c r="L20" i="26"/>
  <c r="H13" i="6"/>
  <c r="C19" i="26"/>
  <c r="H23" i="6"/>
  <c r="H12" i="6"/>
  <c r="H21" i="6"/>
  <c r="B7" i="58"/>
  <c r="B8" i="58"/>
  <c r="B9" i="58"/>
  <c r="B10" i="58"/>
  <c r="H9" i="6"/>
  <c r="Y8" i="31"/>
  <c r="X8" i="31"/>
  <c r="AA8" i="31"/>
  <c r="Y20" i="31"/>
  <c r="X20" i="31"/>
  <c r="AB94" i="31"/>
  <c r="AU93" i="31"/>
  <c r="AS93" i="31"/>
  <c r="V102" i="31"/>
  <c r="Z102" i="31"/>
  <c r="W102" i="31"/>
  <c r="AA20" i="31"/>
  <c r="AB20" i="31"/>
  <c r="AC20" i="31"/>
  <c r="Z20" i="31"/>
  <c r="W20" i="31"/>
  <c r="V20" i="31"/>
  <c r="H14" i="6"/>
  <c r="H10" i="6"/>
  <c r="Z8" i="31"/>
  <c r="Z14" i="31"/>
  <c r="AB15" i="31"/>
  <c r="AZ13" i="31"/>
  <c r="AX13" i="31"/>
  <c r="Z21" i="31"/>
  <c r="AB22" i="31"/>
  <c r="AZ20" i="31"/>
  <c r="AX20" i="31"/>
  <c r="Z27" i="31"/>
  <c r="AA32" i="31"/>
  <c r="AB32" i="31"/>
  <c r="AC32" i="31"/>
  <c r="V32" i="31"/>
  <c r="W36" i="31"/>
  <c r="Y36" i="31"/>
  <c r="Z36" i="31"/>
  <c r="AS76" i="31"/>
  <c r="AB77" i="31"/>
  <c r="AU76" i="31"/>
  <c r="U85" i="31"/>
  <c r="P85" i="31"/>
  <c r="W83" i="31"/>
  <c r="AA83" i="31"/>
  <c r="V83" i="31"/>
  <c r="Z97" i="31"/>
  <c r="V97" i="31"/>
  <c r="W6" i="31"/>
  <c r="W8" i="31"/>
  <c r="W10" i="31"/>
  <c r="W14" i="31"/>
  <c r="W16" i="31"/>
  <c r="X18" i="31"/>
  <c r="AA18" i="31"/>
  <c r="AN20" i="31"/>
  <c r="X21" i="31"/>
  <c r="BH20" i="31"/>
  <c r="W21" i="31"/>
  <c r="Y24" i="31"/>
  <c r="Z24" i="31"/>
  <c r="W27" i="31"/>
  <c r="Z29" i="31"/>
  <c r="Z32" i="31"/>
  <c r="W33" i="31"/>
  <c r="W34" i="31"/>
  <c r="Y35" i="31"/>
  <c r="Z35" i="31"/>
  <c r="W35" i="31"/>
  <c r="Y42" i="31"/>
  <c r="X42" i="31"/>
  <c r="W84" i="31"/>
  <c r="V84" i="31"/>
  <c r="W87" i="31"/>
  <c r="Y87" i="31"/>
  <c r="Z87" i="31"/>
  <c r="Z6" i="31"/>
  <c r="V9" i="31"/>
  <c r="Z10" i="31"/>
  <c r="V13" i="31"/>
  <c r="X14" i="31"/>
  <c r="Z16" i="31"/>
  <c r="V19" i="31"/>
  <c r="V24" i="31"/>
  <c r="V26" i="31"/>
  <c r="X27" i="31"/>
  <c r="AA27" i="31"/>
  <c r="W28" i="31"/>
  <c r="V29" i="31"/>
  <c r="AA29" i="31"/>
  <c r="Z34" i="31"/>
  <c r="AA33" i="31"/>
  <c r="AB33" i="31"/>
  <c r="AC33" i="31"/>
  <c r="AA31" i="31"/>
  <c r="X36" i="31"/>
  <c r="AA36" i="31"/>
  <c r="V42" i="31"/>
  <c r="Z46" i="31"/>
  <c r="X53" i="31"/>
  <c r="AA53" i="31"/>
  <c r="AB53" i="31"/>
  <c r="AC53" i="31"/>
  <c r="Y53" i="31"/>
  <c r="Z53" i="31"/>
  <c r="AA52" i="31"/>
  <c r="AB52" i="31"/>
  <c r="AC52" i="31"/>
  <c r="W51" i="31"/>
  <c r="AA49" i="31"/>
  <c r="AB49" i="31"/>
  <c r="AC49" i="31"/>
  <c r="AA42" i="31"/>
  <c r="AX55" i="31"/>
  <c r="AB57" i="31"/>
  <c r="AZ55" i="31"/>
  <c r="W77" i="31"/>
  <c r="Y77" i="31"/>
  <c r="Z77" i="31"/>
  <c r="Z83" i="31"/>
  <c r="V101" i="31"/>
  <c r="AA97" i="31"/>
  <c r="W9" i="31"/>
  <c r="W13" i="31"/>
  <c r="Y18" i="31"/>
  <c r="Z18" i="31"/>
  <c r="W19" i="31"/>
  <c r="W26" i="31"/>
  <c r="Z28" i="31"/>
  <c r="W29" i="31"/>
  <c r="V31" i="31"/>
  <c r="X34" i="31"/>
  <c r="AA34" i="31"/>
  <c r="AB34" i="31"/>
  <c r="AC34" i="31"/>
  <c r="X35" i="31"/>
  <c r="Z42" i="31"/>
  <c r="V44" i="31"/>
  <c r="V51" i="31"/>
  <c r="V52" i="31"/>
  <c r="X51" i="31"/>
  <c r="AA51" i="31"/>
  <c r="AB51" i="31"/>
  <c r="AC51" i="31"/>
  <c r="AA46" i="31"/>
  <c r="AB46" i="31"/>
  <c r="AC46" i="31"/>
  <c r="Y44" i="31"/>
  <c r="Z44" i="31"/>
  <c r="X44" i="31"/>
  <c r="AA44" i="31"/>
  <c r="AB44" i="31"/>
  <c r="AC44" i="31"/>
  <c r="AS55" i="31"/>
  <c r="Y56" i="31"/>
  <c r="Z56" i="31"/>
  <c r="X87" i="31"/>
  <c r="AX93" i="31"/>
  <c r="Y100" i="31"/>
  <c r="Z100" i="31"/>
  <c r="X100" i="31"/>
  <c r="AA100" i="31"/>
  <c r="AB100" i="31"/>
  <c r="AC100" i="31"/>
  <c r="W73" i="31"/>
  <c r="Y73" i="31"/>
  <c r="Z73" i="31"/>
  <c r="X72" i="31"/>
  <c r="AA72" i="31"/>
  <c r="AB72" i="31"/>
  <c r="AC72" i="31"/>
  <c r="Y72" i="31"/>
  <c r="Z72" i="31"/>
  <c r="W69" i="31"/>
  <c r="Y69" i="31"/>
  <c r="Z69" i="31"/>
  <c r="X68" i="31"/>
  <c r="AA68" i="31"/>
  <c r="AB68" i="31"/>
  <c r="AC68" i="31"/>
  <c r="Y68" i="31"/>
  <c r="Z68" i="31"/>
  <c r="Y76" i="31"/>
  <c r="Z76" i="31"/>
  <c r="W76" i="31"/>
  <c r="X84" i="31"/>
  <c r="AA84" i="31"/>
  <c r="AB84" i="31"/>
  <c r="AC84" i="31"/>
  <c r="X86" i="31"/>
  <c r="AA86" i="31"/>
  <c r="AB86" i="31"/>
  <c r="AC86" i="31"/>
  <c r="Y86" i="31"/>
  <c r="Z86" i="31"/>
  <c r="Y88" i="31"/>
  <c r="Z88" i="31"/>
  <c r="W88" i="31"/>
  <c r="V94" i="31"/>
  <c r="Z94" i="31"/>
  <c r="X102" i="31"/>
  <c r="AA102" i="31"/>
  <c r="AB102" i="31"/>
  <c r="AC102" i="31"/>
  <c r="Z103" i="31"/>
  <c r="V103" i="31"/>
  <c r="W49" i="31"/>
  <c r="Y52" i="31"/>
  <c r="Z52" i="31"/>
  <c r="U75" i="31"/>
  <c r="S75" i="31"/>
  <c r="X75" i="31"/>
  <c r="X73" i="31"/>
  <c r="AA73" i="31"/>
  <c r="AB73" i="31"/>
  <c r="AC73" i="31"/>
  <c r="W71" i="31"/>
  <c r="Y71" i="31"/>
  <c r="Z71" i="31"/>
  <c r="X69" i="31"/>
  <c r="AA69" i="31"/>
  <c r="AB69" i="31"/>
  <c r="AC69" i="31"/>
  <c r="W67" i="31"/>
  <c r="Y67" i="31"/>
  <c r="Z67" i="31"/>
  <c r="X65" i="31"/>
  <c r="AA65" i="31"/>
  <c r="X76" i="31"/>
  <c r="AA76" i="31"/>
  <c r="AB76" i="31"/>
  <c r="AC76" i="31"/>
  <c r="Y78" i="31"/>
  <c r="Z78" i="31"/>
  <c r="W78" i="31"/>
  <c r="X88" i="31"/>
  <c r="AA88" i="31"/>
  <c r="AA92" i="31"/>
  <c r="Y95" i="31"/>
  <c r="Z95" i="31"/>
  <c r="V95" i="31"/>
  <c r="Y101" i="31"/>
  <c r="Z101" i="31"/>
  <c r="Z99" i="31"/>
  <c r="V99" i="31"/>
  <c r="AA103" i="31"/>
  <c r="W92" i="31"/>
  <c r="Z98" i="31"/>
  <c r="X104" i="31"/>
  <c r="AA104" i="31"/>
  <c r="AB103" i="31"/>
  <c r="AU102" i="31"/>
  <c r="AS102" i="31"/>
  <c r="AX86" i="31"/>
  <c r="AB88" i="31"/>
  <c r="AZ86" i="31"/>
  <c r="AB65" i="31"/>
  <c r="AA75" i="31"/>
  <c r="AN76" i="31"/>
  <c r="BH76" i="31"/>
  <c r="AB75" i="31"/>
  <c r="AC75" i="31"/>
  <c r="W75" i="31"/>
  <c r="V75" i="31"/>
  <c r="Y75" i="31"/>
  <c r="Z75" i="31"/>
  <c r="AA87" i="31"/>
  <c r="AB27" i="31"/>
  <c r="AN27" i="31"/>
  <c r="BH27" i="31"/>
  <c r="AB83" i="31"/>
  <c r="AB104" i="31"/>
  <c r="AZ102" i="31"/>
  <c r="AX102" i="31"/>
  <c r="AB36" i="31"/>
  <c r="AZ34" i="31"/>
  <c r="AX34" i="31"/>
  <c r="AX27" i="31"/>
  <c r="AB29" i="31"/>
  <c r="AZ27" i="31"/>
  <c r="AB97" i="31"/>
  <c r="AN102" i="31"/>
  <c r="BH102" i="31"/>
  <c r="AB31" i="31"/>
  <c r="AN34" i="31"/>
  <c r="BH34" i="31"/>
  <c r="AA14" i="31"/>
  <c r="Y85" i="31"/>
  <c r="X85" i="31"/>
  <c r="AB18" i="31"/>
  <c r="AB92" i="31"/>
  <c r="AN93" i="31"/>
  <c r="BH93" i="31"/>
  <c r="AA35" i="31"/>
  <c r="AB42" i="31"/>
  <c r="AN55" i="31"/>
  <c r="BH55" i="31"/>
  <c r="AA21" i="31"/>
  <c r="AA85" i="31"/>
  <c r="AB85" i="31"/>
  <c r="AC85" i="31"/>
  <c r="W85" i="31"/>
  <c r="V85" i="31"/>
  <c r="Z85" i="31"/>
  <c r="AB8" i="31"/>
  <c r="AN13" i="31"/>
  <c r="BH13" i="31"/>
  <c r="B11" i="58"/>
  <c r="AC8" i="31"/>
  <c r="AP13" i="31"/>
  <c r="BJ13" i="31"/>
  <c r="AC42" i="31"/>
  <c r="AP55" i="31"/>
  <c r="BJ55" i="31"/>
  <c r="AC92" i="31"/>
  <c r="AP93" i="31"/>
  <c r="BJ93" i="31"/>
  <c r="AC31" i="31"/>
  <c r="AP34" i="31"/>
  <c r="BJ34" i="31"/>
  <c r="B12" i="58"/>
  <c r="AS20" i="31"/>
  <c r="AB21" i="31"/>
  <c r="AU20" i="31"/>
  <c r="AC18" i="31"/>
  <c r="AP20" i="31"/>
  <c r="BJ20" i="31"/>
  <c r="AN86" i="31"/>
  <c r="BH86" i="31"/>
  <c r="AC27" i="31"/>
  <c r="AP27" i="31"/>
  <c r="BJ27" i="31"/>
  <c r="AS86" i="31"/>
  <c r="AB87" i="31"/>
  <c r="AU86" i="31"/>
  <c r="AS13" i="31"/>
  <c r="AB14" i="31"/>
  <c r="AU13" i="31"/>
  <c r="AC83" i="31"/>
  <c r="AP86" i="31"/>
  <c r="BJ86" i="31"/>
  <c r="AC65" i="31"/>
  <c r="AP76" i="31"/>
  <c r="BJ76" i="31"/>
  <c r="AB35" i="31"/>
  <c r="AU34" i="31"/>
  <c r="AS34" i="31"/>
  <c r="AC97" i="31"/>
  <c r="AP102" i="31"/>
  <c r="BJ102" i="31"/>
  <c r="AD83" i="31"/>
  <c r="AD84" i="31"/>
  <c r="AD86" i="31"/>
  <c r="AD31" i="31"/>
  <c r="AD30" i="31"/>
  <c r="AD34" i="31"/>
  <c r="AD33" i="31"/>
  <c r="AD32" i="31"/>
  <c r="AD55" i="31"/>
  <c r="AD42" i="31"/>
  <c r="AD48" i="31"/>
  <c r="AD45" i="31"/>
  <c r="AD47" i="31"/>
  <c r="AD50" i="31"/>
  <c r="AD54" i="31"/>
  <c r="AD43" i="31"/>
  <c r="AD51" i="31"/>
  <c r="AD52" i="31"/>
  <c r="AD46" i="31"/>
  <c r="AD49" i="31"/>
  <c r="AD53" i="31"/>
  <c r="AD44" i="31"/>
  <c r="AD18" i="31"/>
  <c r="AD16" i="31"/>
  <c r="AD19" i="31"/>
  <c r="AD17" i="31"/>
  <c r="AD20" i="31"/>
  <c r="B13" i="58"/>
  <c r="AD97" i="31"/>
  <c r="AD96" i="31"/>
  <c r="AD99" i="31"/>
  <c r="AD101" i="31"/>
  <c r="AD98" i="31"/>
  <c r="AD100" i="31"/>
  <c r="AD102" i="31"/>
  <c r="AD65" i="31"/>
  <c r="AD64" i="31"/>
  <c r="AD74" i="31"/>
  <c r="AD71" i="31"/>
  <c r="AD70" i="31"/>
  <c r="AD66" i="31"/>
  <c r="AD67" i="31"/>
  <c r="AD62" i="31"/>
  <c r="AD63" i="31"/>
  <c r="AD72" i="31"/>
  <c r="AD76" i="31"/>
  <c r="AD69" i="31"/>
  <c r="AD68" i="31"/>
  <c r="AD73" i="31"/>
  <c r="AD85" i="31"/>
  <c r="AD27" i="31"/>
  <c r="AD25" i="31"/>
  <c r="AD26" i="31"/>
  <c r="AD24" i="31"/>
  <c r="AD23" i="31"/>
  <c r="AD75" i="31"/>
  <c r="AD92" i="31"/>
  <c r="AD91" i="31"/>
  <c r="AD89" i="31"/>
  <c r="AD90" i="31"/>
  <c r="AD93" i="31"/>
  <c r="AD8" i="31"/>
  <c r="AD9" i="31"/>
  <c r="AD7" i="31"/>
  <c r="AD13" i="31"/>
  <c r="AD6" i="31"/>
  <c r="AD11" i="31"/>
  <c r="AD12" i="31"/>
  <c r="AD10" i="31"/>
  <c r="AK93" i="31"/>
  <c r="BE93" i="31"/>
  <c r="AI93" i="31"/>
  <c r="BC93" i="31"/>
  <c r="AI27" i="31"/>
  <c r="BC27" i="31"/>
  <c r="AK27" i="31"/>
  <c r="BE27" i="31"/>
  <c r="AK76" i="31"/>
  <c r="BE76" i="31"/>
  <c r="AI76" i="31"/>
  <c r="BC76" i="31"/>
  <c r="B14" i="58"/>
  <c r="AI20" i="31"/>
  <c r="BC20" i="31"/>
  <c r="AK20" i="31"/>
  <c r="BE20" i="31"/>
  <c r="AK13" i="31"/>
  <c r="BE13" i="31"/>
  <c r="AI13" i="31"/>
  <c r="BC13" i="31"/>
  <c r="AI102" i="31"/>
  <c r="BC102" i="31"/>
  <c r="AK102" i="31"/>
  <c r="BE102" i="31"/>
  <c r="AI55" i="31"/>
  <c r="BC55" i="31"/>
  <c r="AK55" i="31"/>
  <c r="BE55" i="31"/>
  <c r="AI34" i="31"/>
  <c r="BC34" i="31"/>
  <c r="AK34" i="31"/>
  <c r="BE34" i="31"/>
  <c r="AK86" i="31"/>
  <c r="BE86" i="31"/>
  <c r="AI86" i="31"/>
  <c r="BC86" i="31"/>
  <c r="B15" i="58"/>
  <c r="B16" i="58"/>
  <c r="B17" i="58"/>
  <c r="B18" i="58"/>
  <c r="B19" i="58"/>
  <c r="B20" i="58"/>
  <c r="B21" i="58"/>
  <c r="B22" i="58"/>
  <c r="B23" i="58"/>
  <c r="B24" i="58"/>
  <c r="B25" i="58"/>
  <c r="B26" i="58"/>
  <c r="B27" i="58"/>
  <c r="B28" i="58"/>
  <c r="B29" i="58"/>
  <c r="B30" i="58"/>
  <c r="B31" i="58"/>
  <c r="B32" i="58"/>
  <c r="B33" i="58"/>
  <c r="B34" i="58"/>
  <c r="B35" i="58"/>
  <c r="B36" i="58"/>
  <c r="B37" i="58"/>
  <c r="B38" i="58"/>
  <c r="B39" i="58"/>
  <c r="B40" i="58"/>
  <c r="B41" i="58"/>
  <c r="B42" i="58"/>
  <c r="B43" i="58"/>
  <c r="B44" i="58"/>
  <c r="B45" i="58"/>
  <c r="B46" i="58"/>
  <c r="B47" i="58"/>
  <c r="B48" i="58"/>
  <c r="B49" i="58"/>
  <c r="B50" i="58"/>
  <c r="B51" i="58"/>
  <c r="B52" i="58"/>
  <c r="B53" i="58"/>
  <c r="B54" i="58"/>
  <c r="B55" i="58"/>
  <c r="B56" i="58"/>
  <c r="B57" i="58"/>
  <c r="B58" i="58"/>
  <c r="B59" i="58"/>
  <c r="B60" i="58"/>
  <c r="B61" i="58"/>
  <c r="B62" i="58"/>
  <c r="B63" i="58"/>
  <c r="B64" i="58"/>
  <c r="B65" i="58"/>
  <c r="B66" i="58"/>
  <c r="B67" i="58"/>
  <c r="B68" i="58"/>
  <c r="B69" i="58"/>
  <c r="B70" i="58"/>
  <c r="B71" i="58"/>
  <c r="B72" i="58"/>
  <c r="B73" i="58"/>
  <c r="B74" i="58"/>
  <c r="B75" i="58"/>
  <c r="B76" i="58"/>
  <c r="B77" i="58"/>
  <c r="B78" i="58"/>
  <c r="B79" i="58"/>
  <c r="B80" i="58"/>
  <c r="B81" i="58"/>
  <c r="B82" i="58"/>
  <c r="B83" i="58"/>
  <c r="B84" i="58"/>
  <c r="B85" i="58"/>
  <c r="B86" i="58"/>
  <c r="B87" i="58"/>
  <c r="B88" i="58"/>
  <c r="B89" i="58"/>
  <c r="B90" i="58"/>
  <c r="B91" i="58"/>
  <c r="B92" i="58"/>
  <c r="B93" i="58"/>
  <c r="B94" i="58"/>
  <c r="B95" i="58"/>
  <c r="B96" i="58"/>
  <c r="B97" i="58"/>
  <c r="B98" i="58"/>
  <c r="B99" i="58"/>
  <c r="B100" i="58"/>
  <c r="B101" i="58"/>
  <c r="B102" i="58"/>
  <c r="B103" i="58"/>
  <c r="B104" i="58"/>
  <c r="B105" i="58"/>
  <c r="B106" i="58"/>
  <c r="B107" i="58"/>
  <c r="B108" i="58"/>
  <c r="B109" i="58"/>
  <c r="B110" i="58"/>
  <c r="B111" i="58"/>
  <c r="B112" i="58"/>
  <c r="B113" i="58"/>
  <c r="B114" i="58"/>
  <c r="B115" i="58"/>
  <c r="B116" i="58"/>
  <c r="B117" i="58"/>
  <c r="B118" i="58"/>
  <c r="B119" i="58"/>
  <c r="B120" i="58"/>
  <c r="B121" i="58"/>
  <c r="B122" i="58"/>
  <c r="B123" i="58"/>
  <c r="B124" i="58"/>
  <c r="B125" i="58"/>
  <c r="B126" i="58"/>
  <c r="B127" i="58"/>
  <c r="B128" i="58"/>
  <c r="B129" i="58"/>
  <c r="B130" i="58"/>
  <c r="B131" i="58"/>
  <c r="B132" i="58"/>
  <c r="B133" i="58"/>
  <c r="B134" i="58"/>
  <c r="B135" i="58"/>
  <c r="B136" i="58"/>
  <c r="B137" i="58"/>
  <c r="B138" i="58"/>
  <c r="B139" i="58"/>
  <c r="B140" i="58"/>
  <c r="B141" i="58"/>
  <c r="B142" i="58"/>
  <c r="B143" i="58"/>
  <c r="B144" i="58"/>
  <c r="B145" i="58"/>
  <c r="B146" i="58"/>
  <c r="B147" i="58"/>
  <c r="B148" i="58"/>
  <c r="B149" i="58"/>
  <c r="B150" i="58"/>
  <c r="B151" i="58"/>
  <c r="B152" i="58"/>
  <c r="B153" i="58"/>
  <c r="B154" i="58"/>
  <c r="B155" i="58"/>
  <c r="B156" i="58"/>
  <c r="B157" i="58"/>
  <c r="B158" i="58"/>
  <c r="B159" i="58"/>
  <c r="B160" i="58"/>
  <c r="B161" i="58"/>
  <c r="B162" i="58"/>
  <c r="B163" i="58"/>
  <c r="B164" i="58"/>
  <c r="B165" i="58"/>
  <c r="B166" i="58"/>
  <c r="B167" i="58"/>
  <c r="B168" i="58"/>
  <c r="B169" i="58"/>
  <c r="B170" i="58"/>
  <c r="B171" i="58"/>
  <c r="B172" i="58"/>
  <c r="B173" i="58"/>
  <c r="B174" i="58"/>
  <c r="B175" i="58"/>
  <c r="B176" i="58"/>
  <c r="B177" i="58"/>
  <c r="B178" i="58"/>
  <c r="B179" i="58"/>
  <c r="B180" i="58"/>
  <c r="B181" i="58"/>
  <c r="B182" i="58"/>
  <c r="B183" i="58"/>
  <c r="B184" i="58"/>
  <c r="B185" i="58"/>
  <c r="B186" i="58"/>
  <c r="B187" i="58"/>
  <c r="B188" i="58"/>
  <c r="B189" i="58"/>
  <c r="B190" i="58"/>
  <c r="B191" i="58"/>
  <c r="B192" i="58"/>
  <c r="B193" i="58"/>
  <c r="B194" i="58"/>
  <c r="B195" i="58"/>
  <c r="B196" i="58"/>
  <c r="B197" i="58"/>
  <c r="B198" i="58"/>
  <c r="B199" i="58"/>
  <c r="B200" i="58"/>
  <c r="B201" i="58"/>
  <c r="B202" i="58"/>
  <c r="B203" i="58"/>
  <c r="B204" i="58"/>
  <c r="B205" i="58"/>
  <c r="B206" i="58"/>
  <c r="B207" i="58"/>
  <c r="B208" i="58"/>
  <c r="B209" i="58"/>
  <c r="B210" i="58"/>
  <c r="B211" i="58"/>
  <c r="C210" i="58"/>
  <c r="C6" i="58"/>
  <c r="C4" i="58"/>
  <c r="C7" i="58"/>
  <c r="C5" i="58"/>
  <c r="C211" i="58"/>
  <c r="C8" i="58"/>
  <c r="C9" i="58"/>
  <c r="C10" i="58"/>
  <c r="C11" i="58"/>
  <c r="C12" i="58"/>
  <c r="C13" i="58"/>
  <c r="C14" i="58"/>
  <c r="C15" i="58"/>
  <c r="C16" i="58"/>
  <c r="C17" i="58"/>
  <c r="C18" i="58"/>
  <c r="C19" i="58"/>
  <c r="C20" i="58"/>
  <c r="C21" i="58"/>
  <c r="C22" i="58"/>
  <c r="C23" i="58"/>
  <c r="C24" i="58"/>
  <c r="C25" i="58"/>
  <c r="C26" i="58"/>
  <c r="C27" i="58"/>
  <c r="C28" i="58"/>
  <c r="C29" i="58"/>
  <c r="C30" i="58"/>
  <c r="C31" i="58"/>
  <c r="C32" i="58"/>
  <c r="C33" i="58"/>
  <c r="C34" i="58"/>
  <c r="C35" i="58"/>
  <c r="C36" i="58"/>
  <c r="C37" i="58"/>
  <c r="C38" i="58"/>
  <c r="C39" i="58"/>
  <c r="C40" i="58"/>
  <c r="C41" i="58"/>
  <c r="C42" i="58"/>
  <c r="C43" i="58"/>
  <c r="C44" i="58"/>
  <c r="C45" i="58"/>
  <c r="C46" i="58"/>
  <c r="C47" i="58"/>
  <c r="C48" i="58"/>
  <c r="C49" i="58"/>
  <c r="C50" i="58"/>
  <c r="C51" i="58"/>
  <c r="C52" i="58"/>
  <c r="C53" i="58"/>
  <c r="C54" i="58"/>
  <c r="C55" i="58"/>
  <c r="C56" i="58"/>
  <c r="C57" i="58"/>
  <c r="C58" i="58"/>
  <c r="C59" i="58"/>
  <c r="C60" i="58"/>
  <c r="C61" i="58"/>
  <c r="C62" i="58"/>
  <c r="C63" i="58"/>
  <c r="C64" i="58"/>
  <c r="C65" i="58"/>
  <c r="C66" i="58"/>
  <c r="C67" i="58"/>
  <c r="C68" i="58"/>
  <c r="C69" i="58"/>
  <c r="C70" i="58"/>
  <c r="C71" i="58"/>
  <c r="C72" i="58"/>
  <c r="C73" i="58"/>
  <c r="C74" i="58"/>
  <c r="C75" i="58"/>
  <c r="C76" i="58"/>
  <c r="C77" i="58"/>
  <c r="C78" i="58"/>
  <c r="C79" i="58"/>
  <c r="C80" i="58"/>
  <c r="C81" i="58"/>
  <c r="C82" i="58"/>
  <c r="C83" i="58"/>
  <c r="C84" i="58"/>
  <c r="C85" i="58"/>
  <c r="C86" i="58"/>
  <c r="C87" i="58"/>
  <c r="C88" i="58"/>
  <c r="C89" i="58"/>
  <c r="C90" i="58"/>
  <c r="C91" i="58"/>
  <c r="C92" i="58"/>
  <c r="C93" i="58"/>
  <c r="C94" i="58"/>
  <c r="C95" i="58"/>
  <c r="C96" i="58"/>
  <c r="C97" i="58"/>
  <c r="C98" i="58"/>
  <c r="C99" i="58"/>
  <c r="C100" i="58"/>
  <c r="C101" i="58"/>
  <c r="C102" i="58"/>
  <c r="C103" i="58"/>
  <c r="C104" i="58"/>
  <c r="C105" i="58"/>
  <c r="C106" i="58"/>
  <c r="C107" i="58"/>
  <c r="C108" i="58"/>
  <c r="C109" i="58"/>
  <c r="C110" i="58"/>
  <c r="C111" i="58"/>
  <c r="C112" i="58"/>
  <c r="C113" i="58"/>
  <c r="C114" i="58"/>
  <c r="C115" i="58"/>
  <c r="C116" i="58"/>
  <c r="C117" i="58"/>
  <c r="C118" i="58"/>
  <c r="C119" i="58"/>
  <c r="C120" i="58"/>
  <c r="C121" i="58"/>
  <c r="C122" i="58"/>
  <c r="C123" i="58"/>
  <c r="C124" i="58"/>
  <c r="C125" i="58"/>
  <c r="C126" i="58"/>
  <c r="C127" i="58"/>
  <c r="C128" i="58"/>
  <c r="C129" i="58"/>
  <c r="C130" i="58"/>
  <c r="C131" i="58"/>
  <c r="C132" i="58"/>
  <c r="C133" i="58"/>
  <c r="C134" i="58"/>
  <c r="C135" i="58"/>
  <c r="C136" i="58"/>
  <c r="C137" i="58"/>
  <c r="C138" i="58"/>
  <c r="C139" i="58"/>
  <c r="C140" i="58"/>
  <c r="C141" i="58"/>
  <c r="C142" i="58"/>
  <c r="C143" i="58"/>
  <c r="C144" i="58"/>
  <c r="C145" i="58"/>
  <c r="C146" i="58"/>
  <c r="C147" i="58"/>
  <c r="C148" i="58"/>
  <c r="C149" i="58"/>
  <c r="C150" i="58"/>
  <c r="C151" i="58"/>
  <c r="C152" i="58"/>
  <c r="C153" i="58"/>
  <c r="C154" i="58"/>
  <c r="C155" i="58"/>
  <c r="C156" i="58"/>
  <c r="C157" i="58"/>
  <c r="C158" i="58"/>
  <c r="C159" i="58"/>
  <c r="C160" i="58"/>
  <c r="C161" i="58"/>
  <c r="C162" i="58"/>
  <c r="C163" i="58"/>
  <c r="C164" i="58"/>
  <c r="C165" i="58"/>
  <c r="C166" i="58"/>
  <c r="C167" i="58"/>
  <c r="C168" i="58"/>
  <c r="C169" i="58"/>
  <c r="C170" i="58"/>
  <c r="C171" i="58"/>
  <c r="C172" i="58"/>
  <c r="C173" i="58"/>
  <c r="C174" i="58"/>
  <c r="C175" i="58"/>
  <c r="C176" i="58"/>
  <c r="C177" i="58"/>
  <c r="C178" i="58"/>
  <c r="C179" i="58"/>
  <c r="C180" i="58"/>
  <c r="C181" i="58"/>
  <c r="C182" i="58"/>
  <c r="C183" i="58"/>
  <c r="C184" i="58"/>
  <c r="C185" i="58"/>
  <c r="C186" i="58"/>
  <c r="C187" i="58"/>
  <c r="C188" i="58"/>
  <c r="C189" i="58"/>
  <c r="C190" i="58"/>
  <c r="C191" i="58"/>
  <c r="C192" i="58"/>
  <c r="C193" i="58"/>
  <c r="C194" i="58"/>
  <c r="C195" i="58"/>
  <c r="C196" i="58"/>
  <c r="C197" i="58"/>
  <c r="C198" i="58"/>
  <c r="C199" i="58"/>
  <c r="C200" i="58"/>
  <c r="C201" i="58"/>
  <c r="C202" i="58"/>
  <c r="C203" i="58"/>
  <c r="C204" i="58"/>
  <c r="C205" i="58"/>
  <c r="C206" i="58"/>
  <c r="C207" i="58"/>
  <c r="C208" i="58"/>
  <c r="C209" i="58"/>
</calcChain>
</file>

<file path=xl/sharedStrings.xml><?xml version="1.0" encoding="utf-8"?>
<sst xmlns="http://schemas.openxmlformats.org/spreadsheetml/2006/main" count="1683" uniqueCount="1023">
  <si>
    <t xml:space="preserve">Parameter </t>
  </si>
  <si>
    <t>Cites</t>
  </si>
  <si>
    <t>“Your score will not affect your payment in any way."</t>
  </si>
  <si>
    <t>Piece Rate</t>
  </si>
  <si>
    <t>Deci, 1971; Gneezy and Rustichini, 2000</t>
  </si>
  <si>
    <t>Social Preferences: Charity</t>
  </si>
  <si>
    <t>Gift Exchange</t>
  </si>
  <si>
    <t>Discounting</t>
  </si>
  <si>
    <t>Gains versus Losses</t>
  </si>
  <si>
    <t>λ (loss aversion)</t>
  </si>
  <si>
    <t>Kahneman and Tversky, 1979; Hossain and List, 2012; Fryer, Levitt, List, Sadoff, 2012</t>
  </si>
  <si>
    <t>Risk Aversion and Probability Weighting</t>
  </si>
  <si>
    <t>π(P) (probability weighting)</t>
  </si>
  <si>
    <t>Social Comparisons</t>
  </si>
  <si>
    <t>Goldstein, Cialdini, and Griskevicius, 2008</t>
  </si>
  <si>
    <t>Ranking</t>
  </si>
  <si>
    <t>Task Significance</t>
  </si>
  <si>
    <t>Grant, 2008</t>
  </si>
  <si>
    <t>All Experts Contacted</t>
  </si>
  <si>
    <t>Experts Completed Survey</t>
  </si>
  <si>
    <t>Experts Completed All 15 Treatments</t>
  </si>
  <si>
    <t>Primary Field</t>
  </si>
  <si>
    <t>Behavioral Econ.</t>
  </si>
  <si>
    <t>Behavioral Finance</t>
  </si>
  <si>
    <t>Applied Micro</t>
  </si>
  <si>
    <t>Economic Theory</t>
  </si>
  <si>
    <t>Econ. Lab Exper.</t>
  </si>
  <si>
    <t>Decision Making</t>
  </si>
  <si>
    <t>Social Psychology</t>
  </si>
  <si>
    <t>Academic Rank</t>
  </si>
  <si>
    <t>Assistant Professor</t>
  </si>
  <si>
    <t>Associate Professor</t>
  </si>
  <si>
    <t>Professor</t>
  </si>
  <si>
    <t>Other</t>
  </si>
  <si>
    <t>Minutes Spent (med.)</t>
  </si>
  <si>
    <t>Clicked Practice Task</t>
  </si>
  <si>
    <t>Clicked Instructions</t>
  </si>
  <si>
    <t>Heard of Mturk</t>
  </si>
  <si>
    <t>Used Mturk</t>
  </si>
  <si>
    <t>Observations</t>
  </si>
  <si>
    <t>Mean</t>
  </si>
  <si>
    <t>US Census</t>
  </si>
  <si>
    <t>Button Presses</t>
  </si>
  <si>
    <t>Time to complete survey (minutes)</t>
  </si>
  <si>
    <t>US IP Address Location</t>
  </si>
  <si>
    <t>Female</t>
  </si>
  <si>
    <t>Education</t>
  </si>
  <si>
    <t>High School or Less</t>
  </si>
  <si>
    <t>Some College</t>
  </si>
  <si>
    <t>Bachelor's Degree or more</t>
  </si>
  <si>
    <t>Age</t>
  </si>
  <si>
    <t>18-24 years old</t>
  </si>
  <si>
    <t>25-30 years old</t>
  </si>
  <si>
    <t>31-40 years old</t>
  </si>
  <si>
    <t>41-50 years old</t>
  </si>
  <si>
    <t>51-64 years old</t>
  </si>
  <si>
    <t>Older than 65</t>
  </si>
  <si>
    <t>(1)</t>
  </si>
  <si>
    <t>(2)</t>
  </si>
  <si>
    <t>(3)</t>
  </si>
  <si>
    <t>(4)</t>
  </si>
  <si>
    <t xml:space="preserve"> β, δ (impatience parameters)</t>
  </si>
  <si>
    <r>
      <t xml:space="preserve">As a bonus, you will be paid an extra </t>
    </r>
    <r>
      <rPr>
        <b/>
        <sz val="10"/>
        <color rgb="FF000000"/>
        <rFont val="Arial"/>
        <family val="2"/>
      </rPr>
      <t xml:space="preserve">1 cent </t>
    </r>
    <r>
      <rPr>
        <sz val="10"/>
        <color rgb="FF000000"/>
        <rFont val="Arial"/>
        <family val="2"/>
      </rPr>
      <t xml:space="preserve">for every </t>
    </r>
    <r>
      <rPr>
        <b/>
        <sz val="10"/>
        <color rgb="FF000000"/>
        <rFont val="Arial"/>
        <family val="2"/>
      </rPr>
      <t xml:space="preserve">100 points </t>
    </r>
    <r>
      <rPr>
        <sz val="10"/>
        <color rgb="FF000000"/>
        <rFont val="Arial"/>
        <family val="2"/>
      </rPr>
      <t>that you score.”</t>
    </r>
  </si>
  <si>
    <r>
      <t xml:space="preserve">“As a bonus, you will be paid an extra </t>
    </r>
    <r>
      <rPr>
        <b/>
        <sz val="10"/>
        <color rgb="FF000000"/>
        <rFont val="Arial"/>
        <family val="2"/>
      </rPr>
      <t xml:space="preserve">10 cents </t>
    </r>
    <r>
      <rPr>
        <sz val="10"/>
        <color rgb="FF000000"/>
        <rFont val="Arial"/>
        <family val="2"/>
      </rPr>
      <t xml:space="preserve">for every </t>
    </r>
    <r>
      <rPr>
        <b/>
        <sz val="10"/>
        <color rgb="FF000000"/>
        <rFont val="Arial"/>
        <family val="2"/>
      </rPr>
      <t>100 points</t>
    </r>
    <r>
      <rPr>
        <sz val="10"/>
        <color rgb="FF000000"/>
        <rFont val="Arial"/>
        <family val="2"/>
      </rPr>
      <t xml:space="preserve"> that you score.”</t>
    </r>
  </si>
  <si>
    <r>
      <t xml:space="preserve">“As a bonus, you will be paid an extra </t>
    </r>
    <r>
      <rPr>
        <b/>
        <sz val="10"/>
        <color rgb="FF000000"/>
        <rFont val="Arial"/>
        <family val="2"/>
      </rPr>
      <t xml:space="preserve">4 cents </t>
    </r>
    <r>
      <rPr>
        <sz val="10"/>
        <color rgb="FF000000"/>
        <rFont val="Arial"/>
        <family val="2"/>
      </rPr>
      <t xml:space="preserve">for every </t>
    </r>
    <r>
      <rPr>
        <b/>
        <sz val="10"/>
        <color rgb="FF000000"/>
        <rFont val="Arial"/>
        <family val="2"/>
      </rPr>
      <t xml:space="preserve">100 points </t>
    </r>
    <r>
      <rPr>
        <sz val="10"/>
        <color rgb="FF000000"/>
        <rFont val="Arial"/>
        <family val="2"/>
      </rPr>
      <t>that you score.”</t>
    </r>
  </si>
  <si>
    <r>
      <t xml:space="preserve">“As a bonus, you will be paid an extra </t>
    </r>
    <r>
      <rPr>
        <b/>
        <sz val="10"/>
        <color rgb="FF000000"/>
        <rFont val="Arial"/>
        <family val="2"/>
      </rPr>
      <t xml:space="preserve">1 cent </t>
    </r>
    <r>
      <rPr>
        <sz val="10"/>
        <color rgb="FF000000"/>
        <rFont val="Arial"/>
        <family val="2"/>
      </rPr>
      <t xml:space="preserve">for every </t>
    </r>
    <r>
      <rPr>
        <b/>
        <sz val="10"/>
        <color rgb="FF000000"/>
        <rFont val="Arial"/>
        <family val="2"/>
      </rPr>
      <t xml:space="preserve">1,000 points </t>
    </r>
    <r>
      <rPr>
        <sz val="10"/>
        <color rgb="FF000000"/>
        <rFont val="Arial"/>
        <family val="2"/>
      </rPr>
      <t>that you score.”</t>
    </r>
  </si>
  <si>
    <r>
      <t xml:space="preserve">"As a bonus, the Red Cross charitable fund will be given </t>
    </r>
    <r>
      <rPr>
        <b/>
        <sz val="10"/>
        <color rgb="FF000000"/>
        <rFont val="Arial"/>
        <family val="2"/>
      </rPr>
      <t xml:space="preserve">1 cent </t>
    </r>
    <r>
      <rPr>
        <sz val="10"/>
        <color rgb="FF000000"/>
        <rFont val="Arial"/>
        <family val="2"/>
      </rPr>
      <t>for every 100 points that you score.”</t>
    </r>
  </si>
  <si>
    <r>
      <t xml:space="preserve">α (altruism) and </t>
    </r>
    <r>
      <rPr>
        <i/>
        <sz val="10"/>
        <color theme="1"/>
        <rFont val="Arial"/>
        <family val="2"/>
      </rPr>
      <t>a</t>
    </r>
    <r>
      <rPr>
        <sz val="10"/>
        <color theme="1"/>
        <rFont val="Arial"/>
        <family val="2"/>
      </rPr>
      <t xml:space="preserve"> (warm glow)</t>
    </r>
  </si>
  <si>
    <r>
      <t xml:space="preserve">"As a bonus, the Red Cross charitable fund will be given </t>
    </r>
    <r>
      <rPr>
        <b/>
        <sz val="10"/>
        <color rgb="FF000000"/>
        <rFont val="Arial"/>
        <family val="2"/>
      </rPr>
      <t>10 cents</t>
    </r>
    <r>
      <rPr>
        <sz val="10"/>
        <color rgb="FF000000"/>
        <rFont val="Arial"/>
        <family val="2"/>
      </rPr>
      <t xml:space="preserve"> for every 100 points that you score.”</t>
    </r>
  </si>
  <si>
    <r>
      <t xml:space="preserve">“In appreciation to you for performing this task, you will be paid a </t>
    </r>
    <r>
      <rPr>
        <b/>
        <sz val="10"/>
        <color rgb="FF000000"/>
        <rFont val="Arial"/>
        <family val="2"/>
      </rPr>
      <t xml:space="preserve">bonus </t>
    </r>
    <r>
      <rPr>
        <sz val="10"/>
        <color rgb="FF000000"/>
        <rFont val="Arial"/>
        <family val="2"/>
      </rPr>
      <t xml:space="preserve">of </t>
    </r>
    <r>
      <rPr>
        <b/>
        <sz val="10"/>
        <color rgb="FF000000"/>
        <rFont val="Arial"/>
        <family val="2"/>
      </rPr>
      <t>40 cents</t>
    </r>
    <r>
      <rPr>
        <sz val="10"/>
        <color rgb="FF000000"/>
        <rFont val="Arial"/>
        <family val="2"/>
      </rPr>
      <t>. Your score will not affect your payment in any way.“</t>
    </r>
    <r>
      <rPr>
        <i/>
        <sz val="10"/>
        <color rgb="FF000000"/>
        <rFont val="Arial"/>
        <family val="2"/>
      </rPr>
      <t xml:space="preserve"> </t>
    </r>
  </si>
  <si>
    <r>
      <t xml:space="preserve">"As a bonus, you will be paid an extra 1 cent for every 100 points that you score. This bonus will be paid to your account </t>
    </r>
    <r>
      <rPr>
        <b/>
        <sz val="10"/>
        <color rgb="FF000000"/>
        <rFont val="Arial"/>
        <family val="2"/>
      </rPr>
      <t xml:space="preserve">two weeks </t>
    </r>
    <r>
      <rPr>
        <sz val="10"/>
        <color rgb="FF000000"/>
        <rFont val="Arial"/>
        <family val="2"/>
      </rPr>
      <t>from today.“</t>
    </r>
  </si>
  <si>
    <r>
      <t xml:space="preserve">"As a bonus, you will be paid an extra 1 cent for every 100 points that you score. This bonus will be paid to your account </t>
    </r>
    <r>
      <rPr>
        <b/>
        <sz val="10"/>
        <color rgb="FF000000"/>
        <rFont val="Arial"/>
        <family val="2"/>
      </rPr>
      <t>four weeks</t>
    </r>
    <r>
      <rPr>
        <sz val="10"/>
        <color rgb="FF000000"/>
        <rFont val="Arial"/>
        <family val="2"/>
      </rPr>
      <t xml:space="preserve"> from today.“</t>
    </r>
  </si>
  <si>
    <r>
      <t xml:space="preserve">"As a bonus, you will be paid an </t>
    </r>
    <r>
      <rPr>
        <b/>
        <sz val="10"/>
        <color rgb="FF000000"/>
        <rFont val="Arial"/>
        <family val="2"/>
      </rPr>
      <t>extra 40 cents</t>
    </r>
    <r>
      <rPr>
        <sz val="10"/>
        <color rgb="FF000000"/>
        <rFont val="Arial"/>
        <family val="2"/>
      </rPr>
      <t xml:space="preserve"> if you score at least 2,000 points."</t>
    </r>
  </si>
  <si>
    <r>
      <t xml:space="preserve">"As a bonus, you will be paid an </t>
    </r>
    <r>
      <rPr>
        <b/>
        <sz val="10"/>
        <color rgb="FF000000"/>
        <rFont val="Arial"/>
        <family val="2"/>
      </rPr>
      <t>extra 40 cents</t>
    </r>
    <r>
      <rPr>
        <sz val="10"/>
        <color rgb="FF000000"/>
        <rFont val="Arial"/>
        <family val="2"/>
      </rPr>
      <t xml:space="preserve">. However, you will </t>
    </r>
    <r>
      <rPr>
        <b/>
        <sz val="10"/>
        <color rgb="FF000000"/>
        <rFont val="Arial"/>
        <family val="2"/>
      </rPr>
      <t xml:space="preserve">lose this bonus </t>
    </r>
    <r>
      <rPr>
        <sz val="10"/>
        <color rgb="FF000000"/>
        <rFont val="Arial"/>
        <family val="2"/>
      </rPr>
      <t>(it will not be placed in your account) unless you score at least 2,000 points. “</t>
    </r>
  </si>
  <si>
    <r>
      <t xml:space="preserve">"As a bonus, you will be paid an </t>
    </r>
    <r>
      <rPr>
        <b/>
        <sz val="10"/>
        <color rgb="FF000000"/>
        <rFont val="Arial"/>
        <family val="2"/>
      </rPr>
      <t>extra 80 cents</t>
    </r>
    <r>
      <rPr>
        <sz val="10"/>
        <color rgb="FF000000"/>
        <rFont val="Arial"/>
        <family val="2"/>
      </rPr>
      <t xml:space="preserve"> if you score at least 2,000 points.“</t>
    </r>
  </si>
  <si>
    <r>
      <t xml:space="preserve">"As a bonus, you will have a </t>
    </r>
    <r>
      <rPr>
        <b/>
        <sz val="10"/>
        <color theme="1"/>
        <rFont val="Arial"/>
        <family val="2"/>
      </rPr>
      <t>50% chance</t>
    </r>
    <r>
      <rPr>
        <sz val="10"/>
        <color theme="1"/>
        <rFont val="Arial"/>
        <family val="2"/>
      </rPr>
      <t xml:space="preserve"> of being paid an </t>
    </r>
    <r>
      <rPr>
        <b/>
        <sz val="10"/>
        <color theme="1"/>
        <rFont val="Arial"/>
        <family val="2"/>
      </rPr>
      <t>extra 2 cents</t>
    </r>
    <r>
      <rPr>
        <sz val="10"/>
        <color theme="1"/>
        <rFont val="Arial"/>
        <family val="2"/>
      </rPr>
      <t xml:space="preserve"> for every 100 points that you score. One out of two participants who perform this task will be randomly chosen to be paid this reward." </t>
    </r>
  </si>
  <si>
    <r>
      <t xml:space="preserve">“Your score will not affect your payment in any way. After you play, we will show you </t>
    </r>
    <r>
      <rPr>
        <b/>
        <sz val="10"/>
        <color rgb="FF000000"/>
        <rFont val="Arial"/>
        <family val="2"/>
      </rPr>
      <t>how well you did relative</t>
    </r>
    <r>
      <rPr>
        <sz val="10"/>
        <color rgb="FF000000"/>
        <rFont val="Arial"/>
        <family val="2"/>
      </rPr>
      <t xml:space="preserve"> to other participants who have previously done this task.“ </t>
    </r>
  </si>
  <si>
    <r>
      <t xml:space="preserve"> "Your score will not affect your payment in any way. We are interested in how fast people choose to press digits and we would like you to do your very best. So </t>
    </r>
    <r>
      <rPr>
        <b/>
        <sz val="10"/>
        <color rgb="FF000000"/>
        <rFont val="Arial"/>
        <family val="2"/>
      </rPr>
      <t>please try as hard as you can</t>
    </r>
    <r>
      <rPr>
        <sz val="10"/>
        <color rgb="FF000000"/>
        <rFont val="Arial"/>
        <family val="2"/>
      </rPr>
      <t>."</t>
    </r>
  </si>
  <si>
    <t>Treatment Wording</t>
  </si>
  <si>
    <t>Laibson, 1997; O'Donoghue and Rabin, 1999; Andreoni and Sprenger, 2012; Augenblick, Nierderle, and Sprenger, 2015</t>
  </si>
  <si>
    <t>(crowd out)</t>
  </si>
  <si>
    <r>
      <t xml:space="preserve">“Your score will not affect your payment in any way. In a previous version of this task, </t>
    </r>
    <r>
      <rPr>
        <b/>
        <sz val="10"/>
        <color rgb="FF000000"/>
        <rFont val="Arial"/>
        <family val="2"/>
      </rPr>
      <t xml:space="preserve">many participants </t>
    </r>
    <r>
      <rPr>
        <sz val="10"/>
        <color rgb="FF000000"/>
        <rFont val="Arial"/>
        <family val="2"/>
      </rPr>
      <t xml:space="preserve">were able to score more than </t>
    </r>
    <r>
      <rPr>
        <b/>
        <sz val="10"/>
        <color rgb="FF000000"/>
        <rFont val="Arial"/>
        <family val="2"/>
      </rPr>
      <t>2,000 points.</t>
    </r>
    <r>
      <rPr>
        <sz val="10"/>
        <color rgb="FF000000"/>
        <rFont val="Arial"/>
        <family val="2"/>
      </rPr>
      <t>”</t>
    </r>
  </si>
  <si>
    <r>
      <rPr>
        <b/>
        <sz val="7"/>
        <color theme="1"/>
        <rFont val="Arial"/>
        <family val="2"/>
      </rPr>
      <t>Notes:</t>
    </r>
    <r>
      <rPr>
        <sz val="7"/>
        <color theme="1"/>
        <rFont val="Arial"/>
        <family val="2"/>
      </rPr>
      <t xml:space="preserve"> The Table presents summary information on the experts participating in the survey. Column (1) presents information on the experts contacted and Column (2) on the experts that completed the survey. Column (3) restricts the sample further to subjects who made a forecast for all 15 treatments.</t>
    </r>
  </si>
  <si>
    <t>Category</t>
  </si>
  <si>
    <r>
      <t xml:space="preserve">"As a bonus, you will have a </t>
    </r>
    <r>
      <rPr>
        <b/>
        <sz val="10"/>
        <color theme="1"/>
        <rFont val="Arial"/>
        <family val="2"/>
      </rPr>
      <t>1% chance</t>
    </r>
    <r>
      <rPr>
        <sz val="10"/>
        <color theme="1"/>
        <rFont val="Arial"/>
        <family val="2"/>
      </rPr>
      <t xml:space="preserve"> of being paid an </t>
    </r>
    <r>
      <rPr>
        <b/>
        <sz val="10"/>
        <color theme="1"/>
        <rFont val="Arial"/>
        <family val="2"/>
      </rPr>
      <t>extra $1</t>
    </r>
    <r>
      <rPr>
        <sz val="10"/>
        <color theme="1"/>
        <rFont val="Arial"/>
        <family val="2"/>
      </rPr>
      <t xml:space="preserve"> for every 100 points that you score. One out of every 100 participants who perform this task will be randomly chosen to be paid this reward.“</t>
    </r>
  </si>
  <si>
    <t>Social Preferences: Gift Exchange</t>
  </si>
  <si>
    <t>Pay Enough or Don't Pay</t>
  </si>
  <si>
    <r>
      <rPr>
        <b/>
        <sz val="7"/>
        <color theme="1"/>
        <rFont val="Arial"/>
        <family val="2"/>
      </rPr>
      <t>Notes:</t>
    </r>
    <r>
      <rPr>
        <sz val="7"/>
        <color theme="1"/>
        <rFont val="Arial"/>
        <family val="2"/>
      </rPr>
      <t xml:space="preserve"> The Table lists the 18 treatments in the Mturk experiment. The treatments differ just in one paragraph explaining the task and in the vizualization of the points earned. Column (2) reports the key part of the wording of the paragraph. For brevity, we omit from the description the sentence "This bonus will be paid to your account within 24 hours" which applies to all treatments with incentives other than in the Time Preference ones where the payment is delayed. Notice that the bolding is for the benefit of the reader of the Table and was not used in the treatment description on MTurk. Column (1) reports the conceptual grouping of the treaments, Column (3) reports the parameters in the model related to the treatment, and Column (4) reports some key references for the treatment.</t>
    </r>
  </si>
  <si>
    <t>Mean Forecast</t>
  </si>
  <si>
    <t>Mean Effort (s.e.)</t>
  </si>
  <si>
    <t xml:space="preserve">Std. Dev. Forecast </t>
  </si>
  <si>
    <t>(5)</t>
  </si>
  <si>
    <t>Table 1: Summary of 18 Treatments</t>
  </si>
  <si>
    <t>Benchmark</t>
  </si>
  <si>
    <t>N</t>
  </si>
  <si>
    <t>(6)</t>
  </si>
  <si>
    <t>Panel A. Estimate of Model on Effort in 3 Benchmark Treatments</t>
  </si>
  <si>
    <t>Power Cost of Effort</t>
  </si>
  <si>
    <t>Exponential Cost of Effort</t>
  </si>
  <si>
    <r>
      <t xml:space="preserve">Level </t>
    </r>
    <r>
      <rPr>
        <b/>
        <i/>
        <sz val="10"/>
        <color theme="1"/>
        <rFont val="Arial"/>
        <family val="2"/>
      </rPr>
      <t>k</t>
    </r>
    <r>
      <rPr>
        <b/>
        <sz val="10"/>
        <color theme="1"/>
        <rFont val="Arial"/>
        <family val="2"/>
      </rPr>
      <t xml:space="preserve"> of Cost</t>
    </r>
  </si>
  <si>
    <t>Time Preference Parameters</t>
  </si>
  <si>
    <t>Loss Aversion λ</t>
  </si>
  <si>
    <t>Present Bias β</t>
  </si>
  <si>
    <t>(Weekly) Discount Factor δ</t>
  </si>
  <si>
    <t>Social Preferences Parameters</t>
  </si>
  <si>
    <t>Pure Altruism Coefficient α</t>
  </si>
  <si>
    <r>
      <t xml:space="preserve">Warm Glow Coefficient </t>
    </r>
    <r>
      <rPr>
        <b/>
        <i/>
        <sz val="10"/>
        <color theme="1"/>
        <rFont val="Arial"/>
        <family val="2"/>
      </rPr>
      <t>a</t>
    </r>
  </si>
  <si>
    <t>1602 (29.77)</t>
  </si>
  <si>
    <t>1740 (28.76)</t>
  </si>
  <si>
    <t>1761 (30.63)</t>
  </si>
  <si>
    <t>1848 (32.14)</t>
  </si>
  <si>
    <t>1883 (28.61)</t>
  </si>
  <si>
    <t>1896 (28.44)</t>
  </si>
  <si>
    <t>1918 (25.93)</t>
  </si>
  <si>
    <t>1977 (24.73)</t>
  </si>
  <si>
    <t>1970 (28.68)</t>
  </si>
  <si>
    <t>2004 (27.38)</t>
  </si>
  <si>
    <t>2029 (27.47)</t>
  </si>
  <si>
    <t>2136 (24.66)</t>
  </si>
  <si>
    <t>2155 (23.09)</t>
  </si>
  <si>
    <t>2188 (22.99)</t>
  </si>
  <si>
    <t>Kahneman and Tversky, 1979; Prelec, 1998; Wu and Gonzalez, 1996; Loewenstein, Brennan, and Volpp, 2007</t>
  </si>
  <si>
    <t>Fehr, Kirchsteiger, and Riedl, 1993; Gneezy and List, 2009</t>
  </si>
  <si>
    <t>Maslow, 1943; Bandiera et al., 2013; Ashraf et al., 2012</t>
  </si>
  <si>
    <t>Estimate from Mturk (95% c.i.)</t>
  </si>
  <si>
    <t>Andreoni, 1989 and 1990; Becker, 1972; Imas, 2014</t>
  </si>
  <si>
    <t>.</t>
  </si>
  <si>
    <t>(0.24)</t>
  </si>
  <si>
    <t>Treatment</t>
  </si>
  <si>
    <t>Charity</t>
  </si>
  <si>
    <t>0.07</t>
  </si>
  <si>
    <t>Google Scholar Citations</t>
  </si>
  <si>
    <t>Estimation Method:</t>
  </si>
  <si>
    <t>Cost of Effort Specification:</t>
  </si>
  <si>
    <t>Non-Linear Least Squares on Individual Effort in 3 Treatments</t>
  </si>
  <si>
    <t>Median Forecast (25th, 75th ptile)</t>
  </si>
  <si>
    <t>Curvature γ of Cost</t>
  </si>
  <si>
    <t>of Effort Function</t>
  </si>
  <si>
    <r>
      <t xml:space="preserve">Intrinsic Motivation </t>
    </r>
    <r>
      <rPr>
        <b/>
        <i/>
        <sz val="10"/>
        <color theme="1"/>
        <rFont val="Arial"/>
        <family val="2"/>
      </rPr>
      <t>s</t>
    </r>
  </si>
  <si>
    <t>Panel B. Estimates of Social Preferences and Time Preferences</t>
  </si>
  <si>
    <t>Panel A. Estimate of Model on Effort in 3 Benchmark Treatments and 2 Probability Treatments</t>
  </si>
  <si>
    <t>(assumed)</t>
  </si>
  <si>
    <t>Reference Dependence Parameter</t>
  </si>
  <si>
    <t>Panel B. Estimate of Loss Aversion Based on Local Approximation</t>
  </si>
  <si>
    <t>Table 6. Estimates of Reference-Dependent Parameters: Mturker Actual Effort and Expert Beliefs</t>
  </si>
  <si>
    <t>25th Percentile</t>
  </si>
  <si>
    <t>Median</t>
  </si>
  <si>
    <t>Curvature of Utility Over</t>
  </si>
  <si>
    <t>(in percent)</t>
  </si>
  <si>
    <t>75th Percentile</t>
  </si>
  <si>
    <r>
      <t xml:space="preserve">Gift Exchange </t>
    </r>
    <r>
      <rPr>
        <b/>
        <sz val="10"/>
        <color theme="1"/>
        <rFont val="Calibri"/>
        <family val="2"/>
      </rPr>
      <t>Δ</t>
    </r>
    <r>
      <rPr>
        <b/>
        <i/>
        <sz val="10"/>
        <color theme="1"/>
        <rFont val="Arial"/>
        <family val="2"/>
      </rPr>
      <t>s</t>
    </r>
  </si>
  <si>
    <t>Implied Effort, 4-cent Treatment (Actual Effort 2,132, Log 7.602)</t>
  </si>
  <si>
    <t>Implied Effort, Low-pay Treatment (Actual Effort 1,883, Log 7.424)</t>
  </si>
  <si>
    <t>Minimum Distance Estimator on Average Effort</t>
  </si>
  <si>
    <t>Non-Linear Least Squares on Individual Effort</t>
  </si>
  <si>
    <t>Non-linear Least Squares Estimator on Individual Effort</t>
  </si>
  <si>
    <t>India IP Address Location</t>
  </si>
  <si>
    <t>(0.0021)</t>
  </si>
  <si>
    <t>(0.0027)</t>
  </si>
  <si>
    <t>(1.12E-64)</t>
  </si>
  <si>
    <t>(1.19E-13)</t>
  </si>
  <si>
    <t>(3.27E-12)</t>
  </si>
  <si>
    <t>(3.50E-7)</t>
  </si>
  <si>
    <t>(0.15)</t>
  </si>
  <si>
    <t>(0.26)</t>
  </si>
  <si>
    <t>(1.31)</t>
  </si>
  <si>
    <t>(0.14)</t>
  </si>
  <si>
    <t>(5.25)</t>
  </si>
  <si>
    <t>(0.79)</t>
  </si>
  <si>
    <t>(0.23)</t>
  </si>
  <si>
    <r>
      <t>Notes:</t>
    </r>
    <r>
      <rPr>
        <sz val="7"/>
        <rFont val="Arial"/>
        <family val="2"/>
      </rPr>
      <t xml:space="preserve"> Panel A reports the structural estimates of the model in Section 2 using a non-linear least squares regression for observations in the 3 benchmark treatments and in the 2 probabilistic pay treatments. We estimate the model under two assumptions, a power cost of effort function (Columns 1-3) and an exponential cost of effort function (Columns 4-6). The specification reports the estimate for a probability weighting coefficient under the assumption of linear value function (Columns 1 and 4), concave value function with curvature 0.88 as in Tversky and Kahneman (Columns 2 and 5) and with estimated curvature (Columns 3 and 6). Panel B shows the estimates for the loss aversion parameter, which is obtained with a local approximation, see text.</t>
    </r>
  </si>
  <si>
    <t>(7)</t>
  </si>
  <si>
    <t>(8)</t>
  </si>
  <si>
    <r>
      <t xml:space="preserve">Intrinsic Motivation </t>
    </r>
    <r>
      <rPr>
        <b/>
        <i/>
        <sz val="10"/>
        <rFont val="Arial"/>
        <family val="2"/>
      </rPr>
      <t>s</t>
    </r>
  </si>
  <si>
    <t>(0.003)</t>
  </si>
  <si>
    <t>(4.46E-12)</t>
  </si>
  <si>
    <t>(6.61E-21)</t>
  </si>
  <si>
    <t>(9.78E-14)</t>
  </si>
  <si>
    <t>(8.92E-16)</t>
  </si>
  <si>
    <t>Implied Effort, 4-cent Treatment (Actual Effort 2,132)</t>
  </si>
  <si>
    <t>Implied Effort, Low-pay Treatment (Actual Effort 1,883)</t>
  </si>
  <si>
    <r>
      <t xml:space="preserve">Gift Exchange </t>
    </r>
    <r>
      <rPr>
        <b/>
        <sz val="10"/>
        <rFont val="Calibri"/>
        <family val="2"/>
      </rPr>
      <t>Δ</t>
    </r>
    <r>
      <rPr>
        <b/>
        <i/>
        <sz val="10"/>
        <rFont val="Arial"/>
        <family val="2"/>
      </rPr>
      <t>s</t>
    </r>
  </si>
  <si>
    <t>(0.16,0.93)</t>
  </si>
  <si>
    <t>Assumption:</t>
  </si>
  <si>
    <t>Concave Value Function</t>
  </si>
  <si>
    <t>Continuous Points</t>
  </si>
  <si>
    <t>High Cost Function Curvature</t>
  </si>
  <si>
    <t>Low Cost Function Curvature</t>
  </si>
  <si>
    <r>
      <t>Notes:</t>
    </r>
    <r>
      <rPr>
        <sz val="7"/>
        <rFont val="Arial"/>
        <family val="2"/>
      </rPr>
      <t xml:space="preserve"> This table reports the results of four robustness checks, each estimated using a non-linear least squares estimator with an exponential cost of effort function. The specification regresses the effort of the individual MTurker (rounded to the nearest 100 points) with the specification discussed in Section 6. The specification in Panel A include only the 3 benchmark treatments, while the specifications in Panel B include also the charitable giving, gift exchange, and time-delay treatments. For each specification, the first Column in Panel B presents the parameter estimates from the MTurker effort, while the second column presents the implied parameter value for the expert forecast at the median, the 25th percentile and the 75th percentile of the expert distribution. The first two robustness checks examine the impact of mis-specifications in the cost of effort function by forcing the curvature parameter to be fixed at a low value (Column 1) or a high value (Cloumn 2). The second robustness check involves estimates which assume a concave value function, as opposed to linear utility, taking the Tversky and Kahneman 0.88 curvature. Column 4 is like the benchmark, except that, instead of using the points rounded to 100, it uses the continuous points, assuming (for simplicity) that the incentives are distributed continuously.</t>
    </r>
  </si>
  <si>
    <t>1885 / 1881 / 1878</t>
  </si>
  <si>
    <t>Diff Actual-Forecast</t>
  </si>
  <si>
    <t>s.e. diff</t>
  </si>
  <si>
    <t>Actual -Forecast (s.e.)</t>
  </si>
  <si>
    <r>
      <rPr>
        <b/>
        <sz val="7"/>
        <color theme="1"/>
        <rFont val="Arial"/>
        <family val="2"/>
      </rPr>
      <t>Notes:</t>
    </r>
    <r>
      <rPr>
        <sz val="7"/>
        <color theme="1"/>
        <rFont val="Arial"/>
        <family val="2"/>
      </rPr>
      <t xml:space="preserve"> Column (1) of Online Appendix Table 1 lists summary statistics for the final sample of Amazon Turk survey participants (after screening out ineligible subjects).  Column (2) lists, where available, comparable demographic information from the US Census.</t>
    </r>
  </si>
  <si>
    <t>Online Appendix Table 1.  Summary Statistics, Mturk Sample</t>
  </si>
  <si>
    <t>Table 2. Summary Statistics, Experts</t>
  </si>
  <si>
    <t>Table 3. Findings by Treatment: Effort in Experiment and Expert Forecasts</t>
  </si>
  <si>
    <t>Table 4. Experimental Findings Compared to Meta-Analysis of Findings in Literature</t>
  </si>
  <si>
    <t>Comparison</t>
  </si>
  <si>
    <t>Compare low piece rate to charity (1c) to low piece rate to self (1c)</t>
  </si>
  <si>
    <t>Compare high piece rate to charity (10c) to low piece rate to charity (1c)</t>
  </si>
  <si>
    <t>Compare high piece rate to charity (10c) to high piece rate to self (10c)</t>
  </si>
  <si>
    <t>Compare gift exchange (40c) to no piece rate</t>
  </si>
  <si>
    <t>Compare very-low-pay (1c per 1,000 points) to no piece rate</t>
  </si>
  <si>
    <t>Compare probabilistic piece rate (1% of $1) to deterministic piece rate with expected value (1c)</t>
  </si>
  <si>
    <t>Compare expectation of rank to no piece rate</t>
  </si>
  <si>
    <t>Compare task significance to no piece rate</t>
  </si>
  <si>
    <t>Compare Cialdini-type comparison to no piece rate</t>
  </si>
  <si>
    <t>Papers with Mturk</t>
  </si>
  <si>
    <t>Number of Papers</t>
  </si>
  <si>
    <t>Sample Size</t>
  </si>
  <si>
    <t>Total Sample Size</t>
  </si>
  <si>
    <t>Cohen's d</t>
  </si>
  <si>
    <t>Meta-analysis Cohen's d</t>
  </si>
  <si>
    <t>Our Results</t>
  </si>
  <si>
    <t>Expert Forecasts</t>
  </si>
  <si>
    <t>-0.059 (0.056)</t>
  </si>
  <si>
    <t>Table 5. Estimates of Behavioral Parameters I: Mturkers Actual Effort and Expert Beliefs</t>
  </si>
  <si>
    <t>Paper</t>
  </si>
  <si>
    <t>Gneezy and Rustichini (2000)</t>
  </si>
  <si>
    <t>Subjects</t>
  </si>
  <si>
    <t>Undergrads in Israel</t>
  </si>
  <si>
    <t>Effort Task</t>
  </si>
  <si>
    <t>Answer IQ questions</t>
  </si>
  <si>
    <t>40 (T), 40 (C)</t>
  </si>
  <si>
    <t>High School Students in Israel</t>
  </si>
  <si>
    <t>Fundraising</t>
  </si>
  <si>
    <t>30 (T), 30 (C)</t>
  </si>
  <si>
    <t>Effort in Treatment and Control, Mean(S.D.)</t>
  </si>
  <si>
    <t>Treatment Effect in S.D., Cohen's d (S.e.)</t>
  </si>
  <si>
    <t>Pay just 10 cents NIS per correct answer (T) vs. no piece rate (C)</t>
  </si>
  <si>
    <t>Pay just 1 percent of donations collected (T) vs. no commission (C)</t>
  </si>
  <si>
    <t>-0.190
(0.060)</t>
  </si>
  <si>
    <t>-0.434
(0.061)</t>
  </si>
  <si>
    <t>0.018
(0.060)</t>
  </si>
  <si>
    <t>-0.032
(0.052)</t>
  </si>
  <si>
    <t>0.334
(0.062)</t>
  </si>
  <si>
    <t>0.188
(0.047)</t>
  </si>
  <si>
    <t>0.314
(0.062)</t>
  </si>
  <si>
    <t>-0.091
(0.042)</t>
  </si>
  <si>
    <t>-0.202
(0.060)</t>
  </si>
  <si>
    <t>0.114
(0.061)</t>
  </si>
  <si>
    <t>Survey Response</t>
  </si>
  <si>
    <t>Consumers in the US</t>
  </si>
  <si>
    <t>Recruited from ORSEE</t>
  </si>
  <si>
    <t>Staying to Enter More Data</t>
  </si>
  <si>
    <t xml:space="preserve">250 (T), 250 (C) </t>
  </si>
  <si>
    <t xml:space="preserve">Pay $1 for completed survey (T) vs. no pay (C) </t>
  </si>
  <si>
    <t>29 (T), 30 (C)</t>
  </si>
  <si>
    <t>Yang, Hsee and Urminsky (2014)</t>
  </si>
  <si>
    <t>University Research Lab</t>
  </si>
  <si>
    <t>58 (T), 58 (C)</t>
  </si>
  <si>
    <t>Ashraf, Bandiera and Jack (2014)</t>
  </si>
  <si>
    <t>Hair stylists in Zambia</t>
  </si>
  <si>
    <t>Selling Packs of Condoms</t>
  </si>
  <si>
    <t>212 (T), 182 (C)</t>
  </si>
  <si>
    <t>Hossain and Li (2014)</t>
  </si>
  <si>
    <t>Data Entry</t>
  </si>
  <si>
    <t>Students at HKUST</t>
  </si>
  <si>
    <t>24 (T), 25 (C)</t>
  </si>
  <si>
    <t>24 (T), 24 (C)</t>
  </si>
  <si>
    <t>-0.076
(0.050)</t>
  </si>
  <si>
    <t>-0.260
(0.051)</t>
  </si>
  <si>
    <t>0.003
(0.049)</t>
  </si>
  <si>
    <t>Imas (2014)</t>
  </si>
  <si>
    <t>Tonin and Vlassopoulos (2015)</t>
  </si>
  <si>
    <t>Deehan et al (1997)</t>
  </si>
  <si>
    <t>University Students in the US</t>
  </si>
  <si>
    <t>University Students in the UK</t>
  </si>
  <si>
    <t>GPs in the UK</t>
  </si>
  <si>
    <t>Squeeze a hand dynamometer</t>
  </si>
  <si>
    <t>Look for Pennies Among Coins</t>
  </si>
  <si>
    <t>Look for Nickels Among Coins</t>
  </si>
  <si>
    <t>Look for Pennies/Nickels Among Coins</t>
  </si>
  <si>
    <t>36 (T), 40 (C)</t>
  </si>
  <si>
    <t>55 (T), 55 (C)</t>
  </si>
  <si>
    <t>52 (T), 100 (C)</t>
  </si>
  <si>
    <t>598 (T), 578 (C)</t>
  </si>
  <si>
    <t>36 (C), 38 (T)</t>
  </si>
  <si>
    <t>30 (C), 30 (T)</t>
  </si>
  <si>
    <t>58 (C), 58 (T)</t>
  </si>
  <si>
    <t>52 (C), 116 (C)</t>
  </si>
  <si>
    <t>613 (C), 607 (T)</t>
  </si>
  <si>
    <t>38 (C), 40 (T)</t>
  </si>
  <si>
    <t>58 (C), 55 (T)</t>
  </si>
  <si>
    <t>116 (C), 116 (T)</t>
  </si>
  <si>
    <t>607 (C), 578 (T)</t>
  </si>
  <si>
    <t>Outlet in economics</t>
  </si>
  <si>
    <t>QJE</t>
  </si>
  <si>
    <t>JEEA</t>
  </si>
  <si>
    <t>JEBO</t>
  </si>
  <si>
    <t>MS</t>
  </si>
  <si>
    <t>Journal of Public Economics</t>
  </si>
  <si>
    <t>WP</t>
  </si>
  <si>
    <t>British Journal of General Practice</t>
  </si>
  <si>
    <t>Probability Weighting</t>
  </si>
  <si>
    <t>2 cents piece rate during 2nd round (T) vs. no pay for 2nd round (C)</t>
  </si>
  <si>
    <t>Option to keep or donate pennies found (T) vs. no reward (C)</t>
  </si>
  <si>
    <t>10 percent margin on their sales of condoms (T) vs. no incentives (C)</t>
  </si>
  <si>
    <t>HK$0.50 piece rate (T) vs. no pay (C) (task described as work)</t>
  </si>
  <si>
    <t>HK$0.50 piece rate (T) vs. no pay (C) (task described as a favor for researchers)</t>
  </si>
  <si>
    <t>$0.05 piece rate to charity (T) vs. $0.05 piece rate by oneself (C) (in units of effort)</t>
  </si>
  <si>
    <t>2 cents piece rate to charity (T) vs. 2 cents piece rate for oneself (C) (for 2nd round)</t>
  </si>
  <si>
    <t>5 GBP to charity for survey completion (T) vs. 5 GBP for survey completion (C)</t>
  </si>
  <si>
    <t>$2 piece rate to charity (T) vs. $2 piece rate by oneself (C) (in units of effort)</t>
  </si>
  <si>
    <t>8 cents piece rate to charity (T) vs. 8 cents piece rate for oneself (C) (for 2nd round)</t>
  </si>
  <si>
    <t>10 GBP to charity for survey completion (T) vs. 10 GBP for survey completion (C)</t>
  </si>
  <si>
    <t>$2 piece rate to charity (T) vs. $0.05 piece rate to charity (C) (in units of effort)</t>
  </si>
  <si>
    <t>10 GBP to charity for survey completion (T) vs. 5 GBP to charity for survey completion (C)</t>
  </si>
  <si>
    <t>8 cents piece rate to charity (T) vs. 2 cents piece rate to charity (C) (for 2nd round)</t>
  </si>
  <si>
    <t>15p piece rate to charity (T) vs. 5p piece rate to charity (C)</t>
  </si>
  <si>
    <t>5p piece rate to charity (T) vs. 5p piece rate (C)</t>
  </si>
  <si>
    <t>10p piece rate to charity (T) vs. 10p piece rate (C)</t>
  </si>
  <si>
    <t>Pennies found to be donated (T) vs. option to keep or donate pennies found (C)</t>
  </si>
  <si>
    <t>Nickels found to be donated (T) vs. option to keep or donate nickels found (C)</t>
  </si>
  <si>
    <t>Nickels found to be donated (T) vs. pennies found to be donated (C)</t>
  </si>
  <si>
    <t>Kosfeld and Neckermann (2011)</t>
  </si>
  <si>
    <t>Barankay (2012)</t>
  </si>
  <si>
    <t>Ashraf, Bandiera and Lee (2014)</t>
  </si>
  <si>
    <t>Blanes i Vidal and Nossol (2011)</t>
  </si>
  <si>
    <t>Gill, Kissova, Lee and Prowse (2016)</t>
  </si>
  <si>
    <t>AEJ Micro</t>
  </si>
  <si>
    <t>Students in Zurich</t>
  </si>
  <si>
    <t>Furniture Salespeople in North America</t>
  </si>
  <si>
    <t>Civil Service Cadre Trainees in Zambia</t>
  </si>
  <si>
    <t>Warehouse Workers in Germany</t>
  </si>
  <si>
    <t>Students at the University of Oxford</t>
  </si>
  <si>
    <t>Online Search and Data Entry</t>
  </si>
  <si>
    <t>Sales Performance</t>
  </si>
  <si>
    <t>Exam Scores</t>
  </si>
  <si>
    <t>Warehouse Tasks Completed</t>
  </si>
  <si>
    <t>Verbal and Numerical Tasks</t>
  </si>
  <si>
    <t>83 (C),
67 (T)</t>
  </si>
  <si>
    <t>439 (C),
439 (T)</t>
  </si>
  <si>
    <t>61 (C),
247 (T)</t>
  </si>
  <si>
    <t>57 (C),
59 (T)</t>
  </si>
  <si>
    <t>51 (C),
255 (T)</t>
  </si>
  <si>
    <t>Fixed pay and possibility of award based vaguely on award (T) vs. fixed pay (C)</t>
  </si>
  <si>
    <t>Individual and rank feedback expected (T) vs. only individual feedback expected (C)</t>
  </si>
  <si>
    <t>Rank feedback expected (T) vs. no rank feedback expected (C)</t>
  </si>
  <si>
    <t>Grant (2008)</t>
  </si>
  <si>
    <t>Grant et al. (2007)</t>
  </si>
  <si>
    <t>Chandler and Kapelner (2013)</t>
  </si>
  <si>
    <t>Grant (2012)</t>
  </si>
  <si>
    <t>Ariely, Kamenica and Prelec (2008)</t>
  </si>
  <si>
    <t>Journal of Applied Psychology</t>
  </si>
  <si>
    <t>Callers at fundraising organization</t>
  </si>
  <si>
    <t>New callers at fundraising organization</t>
  </si>
  <si>
    <t>MTurk workers from US and India</t>
  </si>
  <si>
    <t>New employees at a call center in the US Midwest</t>
  </si>
  <si>
    <t>MIT students</t>
  </si>
  <si>
    <t>Solicit donations</t>
  </si>
  <si>
    <t>Image labelling</t>
  </si>
  <si>
    <t>Sales of educational and marketing products</t>
  </si>
  <si>
    <t>Matching letters on sheets</t>
  </si>
  <si>
    <t>11 (C),
12 (T)</t>
  </si>
  <si>
    <t>17 (C),
17 (T)</t>
  </si>
  <si>
    <t>10 (C),
12 (T)</t>
  </si>
  <si>
    <t>10 (C),
17 (T)</t>
  </si>
  <si>
    <t>798 (C),
845 (T)</t>
  </si>
  <si>
    <t>26 (C),
45 (T)</t>
  </si>
  <si>
    <t>35 (C),
34 (T)</t>
  </si>
  <si>
    <t>Read stories about beneficiaries (T) vs. fill in surveys (C)</t>
  </si>
  <si>
    <t>Read letter by beneficiary and discussed between themselves (T) vs. no contact (C)</t>
  </si>
  <si>
    <t>Talked to beneficiary (T) vs. no contact (C)</t>
  </si>
  <si>
    <t>Subjects told that they were labelling tumor cells to assist medical research (T) vs. no such information (C)</t>
  </si>
  <si>
    <t>Visit by director and/or benficiary (T) vs. no visit (C)</t>
  </si>
  <si>
    <t>Subjects told to put their names on their sheets (T) vs. subjects told not to do so (C)</t>
  </si>
  <si>
    <t>Halpern et al. (2011)</t>
  </si>
  <si>
    <t>Thirumurthy et al. (2016)</t>
  </si>
  <si>
    <t>Diamond and Loewy (1991)</t>
  </si>
  <si>
    <t>Dolan and Rudisill (2014)</t>
  </si>
  <si>
    <t>400 (C),
358 (T)</t>
  </si>
  <si>
    <t>308 (C),
302 (T)</t>
  </si>
  <si>
    <t>113 (C),
78 (T)</t>
  </si>
  <si>
    <t>549 (C),
247 (T)</t>
  </si>
  <si>
    <t>Health Services Research</t>
  </si>
  <si>
    <t>Social Science &amp; Medicine</t>
  </si>
  <si>
    <t>Resident Physicians in a US Database</t>
  </si>
  <si>
    <t>Undergraduates in State University</t>
  </si>
  <si>
    <t>Men aged 21 to 39 years old in Kenya</t>
  </si>
  <si>
    <t>16 to 24 year olds in England</t>
  </si>
  <si>
    <t>Uptake of Circumcision</t>
  </si>
  <si>
    <t>Recycling</t>
  </si>
  <si>
    <t>Return Test Kit via Mail</t>
  </si>
  <si>
    <t>0.4% chance of winning US$2500 (T) vs. fixed payment of US$10 (C) for response</t>
  </si>
  <si>
    <t>10% chance of a 50 GBP Tesco voucher (T) vs. 5 GBP Tesco voucher (C)</t>
  </si>
  <si>
    <t>Mixed lottery with expected retail value of US$12.50 (T) vs. food voucher worth US$12.50 (C)</t>
  </si>
  <si>
    <t>5% chance of winning $5 and 1% chance of winning $25 (T) vs. $0.50 voucher for campus store (C)</t>
  </si>
  <si>
    <t>Gneezy and List (2006)</t>
  </si>
  <si>
    <t>Bellemare and Shearer (2011)</t>
  </si>
  <si>
    <t>Englmaier and Leider (2012)</t>
  </si>
  <si>
    <t>Englmaier and Leider (2010)</t>
  </si>
  <si>
    <t>Kube, Marechal and Puppe (2012)</t>
  </si>
  <si>
    <t>Esteves-Sorenson (2016)</t>
  </si>
  <si>
    <t>Cohn, Fehr and Goette (2015)</t>
  </si>
  <si>
    <t>Gilchrist, Luca and Malhotra (2016)</t>
  </si>
  <si>
    <t>Econometrica</t>
  </si>
  <si>
    <t>International Economic Review</t>
  </si>
  <si>
    <t>AER</t>
  </si>
  <si>
    <t>250 (C),
1250 (T)</t>
  </si>
  <si>
    <t>119 (C),
123 (T)</t>
  </si>
  <si>
    <t>10 (C),
9 (T)</t>
  </si>
  <si>
    <t>10 (C),
13 (T)</t>
  </si>
  <si>
    <t>66 (C),
18 (T)</t>
  </si>
  <si>
    <t>14 (C),
15 (T)</t>
  </si>
  <si>
    <t>15 (C),
15 (T)</t>
  </si>
  <si>
    <t>43 (C),
44 (T)</t>
  </si>
  <si>
    <t>53 (C),
52 (T)</t>
  </si>
  <si>
    <t>131 (C),
318 (T)</t>
  </si>
  <si>
    <t>110 (C),
58 (T)</t>
  </si>
  <si>
    <t>178 (C),
181 (T)</t>
  </si>
  <si>
    <t>Kube, Marechal and Puppe (2013)</t>
  </si>
  <si>
    <t>Temporary Workers from Craigslist</t>
  </si>
  <si>
    <t>Undergraduates in the US</t>
  </si>
  <si>
    <t>Planters working in British Columbia</t>
  </si>
  <si>
    <t>Temporary workers hired by HBS</t>
  </si>
  <si>
    <t>Recruited from CLER lab database at HBS</t>
  </si>
  <si>
    <t>Students from 2 universities in the US</t>
  </si>
  <si>
    <t>Recruited from a German university</t>
  </si>
  <si>
    <t>Workers in a Zurich publishing company</t>
  </si>
  <si>
    <t>Recruited from upwork.com</t>
  </si>
  <si>
    <t>Stuff Envelopes</t>
  </si>
  <si>
    <t>Door-to-door Fundraising</t>
  </si>
  <si>
    <t>Planting Trees</t>
  </si>
  <si>
    <t>Solving puzzles on a computer</t>
  </si>
  <si>
    <t>25 (C),
22 (T)</t>
  </si>
  <si>
    <t>Distribute newspapers in public</t>
  </si>
  <si>
    <t>Enter CAPTCHAs</t>
  </si>
  <si>
    <t>Gift ranging from $1 to $5 (T) vs. no pay (C)</t>
  </si>
  <si>
    <t>$14 pay (T) vs. $7 pay (C) (compared to $7 in the previous session)</t>
  </si>
  <si>
    <t>$20 hourly wage (T) vs. $12 hourly wage (C) (relative to the $12 advertised)</t>
  </si>
  <si>
    <t>$20 hourly wage (T) vs. $10 hourly wage (C) (relative to the $10 advertised)</t>
  </si>
  <si>
    <t>$80 gift and $0.20 piece rate (T) vs. $0.20 piece rate (C)</t>
  </si>
  <si>
    <t>$18 hourly wage (T) vs. $13 hourly wage (C) (relative to the $13 advertised)</t>
  </si>
  <si>
    <t>$18 hourly wage (T) vs. $13 hourly wage (C) (relative to the $13 advertised). Subjects told that performance mattered to their managers</t>
  </si>
  <si>
    <t>$20 hourly wage (T) vs. $10 hourly wage (C) (relative to the $10 advertised). Subjects told that performance mattered a little to their managers</t>
  </si>
  <si>
    <t>$20 hourly wage (T) vs. $10 hourly wage (C) (relative to the $10 advertised). Subjects told that performance mattered a lot to their managers</t>
  </si>
  <si>
    <t>12 euro hourly wage and fixed payment of 7 euro (T) vs. 12 euro hourly wage (C) (relative to the 12 euro hourly wage advertised)</t>
  </si>
  <si>
    <t>20 euro hourly wage (T) vs. 15 euro hourly wage (C) (relative to the 15 euro advertised)</t>
  </si>
  <si>
    <t>Raise for shift 1 and for some a subset, a raise for shift 3 (T) vs. no raise (C) (base hourly rate of $12)</t>
  </si>
  <si>
    <t>Unexpected 27 CHF hourly rate for the shift (T) vs. 22 CHF hourly rate (C) (prior expectation was 22 CHF)</t>
  </si>
  <si>
    <t>Unexpected net hourly wage of $4 (T) vs. net hourly wage of $3 (C) (subjects had requested wages between $2 and $3)</t>
  </si>
  <si>
    <t>0.174
(0.041)</t>
  </si>
  <si>
    <t>154 (143) (T),
239 (166) (C)</t>
  </si>
  <si>
    <t>0.032 (0.176) (T),
0.076 (0.265) (C)</t>
  </si>
  <si>
    <t>0.400 (0.490) (T),
0.241 (0.428) (C)</t>
  </si>
  <si>
    <t>21.8 (10.1) (T),
17.0 (8.2) (C)</t>
  </si>
  <si>
    <t>7.31 (13.98) (T),
6.93 (16.4) (C)</t>
  </si>
  <si>
    <t>22.3 (4.1) (T),
24.2 (7.0) (C)</t>
  </si>
  <si>
    <t>21.5 (6.1) (T),
20.3 (5.1) (C)</t>
  </si>
  <si>
    <t>1.51 (0.87) (T),
1.14 (0.34) (C)</t>
  </si>
  <si>
    <t>0.733 (0.442) (T),
0.400 (0.490) (C)</t>
  </si>
  <si>
    <t>27.5 (11.4) (T),
21.8 (10.1) (C)</t>
  </si>
  <si>
    <t>0.13 (0.31) (T),
0.08 (0.29) (C)</t>
  </si>
  <si>
    <t>0.094 (0.292) (T),
0.171 (0.377) (C)</t>
  </si>
  <si>
    <t>1.48 (1.03) (T),
1.74 (1.36) (C)</t>
  </si>
  <si>
    <t>0.80 (0.40) (T),
0.93 (0.25) (C)</t>
  </si>
  <si>
    <t>24.1 (9.6) (T),
22.1 (9.7) (C)</t>
  </si>
  <si>
    <t>0.12 (0.42) (T),
0.08 (0.29) (C)</t>
  </si>
  <si>
    <t>0.100 (0.300) (T),
0.226 (0.418) (C)</t>
  </si>
  <si>
    <t>1.48 (1.03) (T),
1.51 (0.87) (C)</t>
  </si>
  <si>
    <t>0.800 (0.400) (T),
0.733 (0.442) (C)</t>
  </si>
  <si>
    <t>24.1 (9.6) (T),
27.5 (11.4) (C)</t>
  </si>
  <si>
    <t>0.14 (0.31) (T),
0.13 (0.31) (C)</t>
  </si>
  <si>
    <t>0.100 (0.300) (T),
0.094 (0.292) (C)</t>
  </si>
  <si>
    <t>0.253 (0.090) (T),
0.226 (0.059) (C)</t>
  </si>
  <si>
    <t>8.58 (1.02) (T),
8.78 (0.95) (C)</t>
  </si>
  <si>
    <t>-0.188 (1.698) (T),
0.000 (1.000) (C)</t>
  </si>
  <si>
    <t>5.01 (0.12) (T),
4.96 (0.12) (C)</t>
  </si>
  <si>
    <t>74.1 (19.6) (T),
67.4 (19.1) (C)</t>
  </si>
  <si>
    <t>23.0 (11.4) (T),
10.1 (4.6) (C)</t>
  </si>
  <si>
    <t>27.9 (13.7) (T),
10.1 (4.6) (C)</t>
  </si>
  <si>
    <t>261 (135) (T),
179 (57) (C)</t>
  </si>
  <si>
    <t>147 (58) (T),
179 (57) (C)</t>
  </si>
  <si>
    <t>0.806 (0.395) (T),
0.762 (0.426) (C)</t>
  </si>
  <si>
    <t>180 (87) (T),
46 (39) (C)</t>
  </si>
  <si>
    <t>9.03 (2.41) (T),
6.77 (2.50) (C)</t>
  </si>
  <si>
    <t>0.511 (0.500) (T),
0.558 (0.497) (C)</t>
  </si>
  <si>
    <t>0.033 (0.179) (T),
0.084 (0.278) (C)</t>
  </si>
  <si>
    <t>0.308 (0.462) (T),
0.212 (0.409) (C)</t>
  </si>
  <si>
    <t>0.706 (0.455) (T),
0.732 (0.443) (C)</t>
  </si>
  <si>
    <t>0.193 (0.394) (T),
0.076 (0.265) (C)</t>
  </si>
  <si>
    <t>37.1 (9.6) (T),
36.6 (8.5) (C)</t>
  </si>
  <si>
    <t>51.7 (15.5) (T),
40.7 (9.2) (C)</t>
  </si>
  <si>
    <t>10.0 (2.2) (T),
6.6 (2.3) (C)</t>
  </si>
  <si>
    <t>1153 (323) (T),
1063 (270) (C)</t>
  </si>
  <si>
    <t>23.5 (11.5) (T),
29.7 (16.1) (C)</t>
  </si>
  <si>
    <t>28.4 (8.4) (T),
24.4 (9.2) (C)</t>
  </si>
  <si>
    <t>202 (56) (T),
193 (48) (C)</t>
  </si>
  <si>
    <t>204 (51) (T),
191 (67) (C)</t>
  </si>
  <si>
    <t>8742 (2605) (T),
8312 (1930) (C)</t>
  </si>
  <si>
    <t>219 (135) (T),
219 (144) (C)</t>
  </si>
  <si>
    <t>17292 (6239) (T),
17591 (6917) (C)</t>
  </si>
  <si>
    <t>5.36 (0.40) (T),
5.35 (0.39) (C)</t>
  </si>
  <si>
    <t>938 (420) (T),
792 (418) (C)</t>
  </si>
  <si>
    <t>-0.445
(0.170)</t>
  </si>
  <si>
    <t>0.026
(0.072)</t>
  </si>
  <si>
    <t>-0.263
(0.070)</t>
  </si>
  <si>
    <t>Citation-Weighted Cohen's d</t>
  </si>
  <si>
    <t>0.005
(0.068)</t>
  </si>
  <si>
    <t>0.232
(0.093)</t>
  </si>
  <si>
    <t>0.797
(0.176)</t>
  </si>
  <si>
    <t>0.110
(0.099)</t>
  </si>
  <si>
    <t>0.816
(0.243)</t>
  </si>
  <si>
    <t>0.0179
(0.0054)</t>
  </si>
  <si>
    <t>0.119
(0.034)</t>
  </si>
  <si>
    <t>0.447
(0.063)</t>
  </si>
  <si>
    <t>Beshears et al. (2015)</t>
  </si>
  <si>
    <t>Bhargava and Manoli (2015)</t>
  </si>
  <si>
    <t>Cai et al. (2009)</t>
  </si>
  <si>
    <t>Fellner et al. (2013)</t>
  </si>
  <si>
    <t>Frey and Meier (2004)</t>
  </si>
  <si>
    <t>Goldstein et al. (2008)</t>
  </si>
  <si>
    <t>Hallsworth et al. (2014)</t>
  </si>
  <si>
    <t>Krupka and Weber (2009)</t>
  </si>
  <si>
    <t>Journal of Finance</t>
  </si>
  <si>
    <t>NBER WP</t>
  </si>
  <si>
    <t>Journal of Consumer Research</t>
  </si>
  <si>
    <t>Journal of Economic Psychology</t>
  </si>
  <si>
    <t>Enroll in savings plan with QE and 0% default</t>
  </si>
  <si>
    <t>Enroll in savings plan with QE and 6% default</t>
  </si>
  <si>
    <t>Contribution rate to plan with EE and 0% default</t>
  </si>
  <si>
    <t>Contribution rate to plan with EE and 6% default</t>
  </si>
  <si>
    <t>Low-savings employees in the US</t>
  </si>
  <si>
    <t>Take up EITC</t>
  </si>
  <si>
    <t>US tax filers who did not initially take up EITC</t>
  </si>
  <si>
    <t>Purchase a top dish</t>
  </si>
  <si>
    <t>Restaurant visitors in China</t>
  </si>
  <si>
    <t>Accept job offer</t>
  </si>
  <si>
    <t>Applicants to Teach for America</t>
  </si>
  <si>
    <t>Potential evaders of TV license fines in Austria</t>
  </si>
  <si>
    <t>Respond to Mail Notice</t>
  </si>
  <si>
    <t>Donate to Charitable Fund</t>
  </si>
  <si>
    <t>Students at the University of Zurich</t>
  </si>
  <si>
    <t>Guests at a well-known hotel chain in the US</t>
  </si>
  <si>
    <t>Reuse towel</t>
  </si>
  <si>
    <t>Originally non-compliant UK taxpayers</t>
  </si>
  <si>
    <t>Comply with tax payment</t>
  </si>
  <si>
    <t>Students at Carnegie Mellon and University of Pittsburgh</t>
  </si>
  <si>
    <t>Prosocial choice in dicatator game</t>
  </si>
  <si>
    <t>343 (C),
696 (T)</t>
  </si>
  <si>
    <t>136 (C),
264 (T)</t>
  </si>
  <si>
    <t>235 (C),
511 (T)</t>
  </si>
  <si>
    <t>931 (C),
1827 (T)</t>
  </si>
  <si>
    <t>20395 (C),
1753 (T)</t>
  </si>
  <si>
    <t>1772 (C),
2182 (T)</t>
  </si>
  <si>
    <t>3337 (C),
3348 (T)</t>
  </si>
  <si>
    <t>7984 (C),
7998 (T)</t>
  </si>
  <si>
    <t>7821 (C),
8101 (T)</t>
  </si>
  <si>
    <t>500 (C),
1000 (T)</t>
  </si>
  <si>
    <t>216 (C),
217 (T)</t>
  </si>
  <si>
    <t>319 (C),
1276 (T)</t>
  </si>
  <si>
    <t>16912 (C),
50735 (T)</t>
  </si>
  <si>
    <t>8538 (C),
93918 (T)</t>
  </si>
  <si>
    <t>38 (C),
120 (T)</t>
  </si>
  <si>
    <t>Info on savings and peer savings (T) vs. info on savings (C)</t>
  </si>
  <si>
    <t>Notice of eligibility and that similar peers are claiming (T) vs. notice of eligibility (C)</t>
  </si>
  <si>
    <t>Plaque displaying 5 top dishes (T) vs. nothing displayed on diners' tables (C)</t>
  </si>
  <si>
    <t>Admission letter with line on social norm (T) vs. standard admission letter (C)</t>
  </si>
  <si>
    <t>Warning letter and social information (T) vs warning letter (C)</t>
  </si>
  <si>
    <t>Warning letter, threat and social information (T) vs warning letter and threat (C)</t>
  </si>
  <si>
    <t>Contribution form and info about high social norm (T) vs. contribution form</t>
  </si>
  <si>
    <t>Social norm message (T) vs. typical request to reuse towesl (C)</t>
  </si>
  <si>
    <t>Standard letter and one of 3 norm treatments (T) vs. standard letter</t>
  </si>
  <si>
    <t>Standard letter and one of 11 norm treatments (T) vs. standard letter</t>
  </si>
  <si>
    <t>Information on others' behavior (T) vs. no information</t>
  </si>
  <si>
    <t>0.060 (0.236) (T),
0.099 (0.299) (C)</t>
  </si>
  <si>
    <t>0.027 (0.162) (T),
0.007 (0.083) (C)</t>
  </si>
  <si>
    <t>0.106 (0.308) (T),
0.106 (0.308) (C)</t>
  </si>
  <si>
    <t>0.083 (0.276) (T),
0.082 (0.274) (C)</t>
  </si>
  <si>
    <t>0.183 (0.387) (T),
0.162 (0.368) (C)</t>
  </si>
  <si>
    <t>0.790 (0.407) (T),
0.773 (0.419) (C)</t>
  </si>
  <si>
    <t>0.407 (0.491) (T),
0.431 (0.495) (C)</t>
  </si>
  <si>
    <t>0.428 (0.495) (T),
0.450 (0.498) (C)</t>
  </si>
  <si>
    <t>0.770 (0.421) (T),
0.729 (0.444) (C)</t>
  </si>
  <si>
    <t>0.441 (0.497) (T),
0.351 (0.477) (C)</t>
  </si>
  <si>
    <t>0.445 (0.497) (T),
0.372 (0.483) (C)</t>
  </si>
  <si>
    <t>0.354 (0.478) (T),
0.336 (0.472) (C)</t>
  </si>
  <si>
    <t>0.365 (0.481) (T),
0.336 (0.472) (C)</t>
  </si>
  <si>
    <t>0.19 (0.39) (T),
0.23 (0.42) (C)</t>
  </si>
  <si>
    <t>0.54 (0.50) (T),
0.34 (0.47) (C)</t>
  </si>
  <si>
    <t>23.1 (14.7) (T), 28.4 (13.9) (C)</t>
  </si>
  <si>
    <t>-0.372
(0.227)</t>
  </si>
  <si>
    <t>-0.549
(0.268)</t>
  </si>
  <si>
    <t>-0.196
(0.090)</t>
  </si>
  <si>
    <t>0.345
(0.264)</t>
  </si>
  <si>
    <t>0.522
(0.192)</t>
  </si>
  <si>
    <t>0.025
(0.101)</t>
  </si>
  <si>
    <t>-0.331
(0.290)</t>
  </si>
  <si>
    <t>0.223
(0.291)</t>
  </si>
  <si>
    <t>0.555
(0.242)</t>
  </si>
  <si>
    <t>0.714
(0.275)</t>
  </si>
  <si>
    <t>0.529
(0.192)</t>
  </si>
  <si>
    <t>0.166
(0.167)</t>
  </si>
  <si>
    <t>-0.230
(0.058)</t>
  </si>
  <si>
    <t>-0.217
(0.231)</t>
  </si>
  <si>
    <t>-0.400
(0.263)</t>
  </si>
  <si>
    <t>0.207
(0.192)</t>
  </si>
  <si>
    <t>0.105
(0.171)</t>
  </si>
  <si>
    <t>-0.344
(0.059)</t>
  </si>
  <si>
    <t>-0.031
(0.227)</t>
  </si>
  <si>
    <t>0.158
(0.259)</t>
  </si>
  <si>
    <t>-0.322
(0.191)</t>
  </si>
  <si>
    <t>0.033
(0.131)</t>
  </si>
  <si>
    <t>0.022
(0.058)</t>
  </si>
  <si>
    <t>1.46
(0.53)</t>
  </si>
  <si>
    <t>0.695
(0.364)</t>
  </si>
  <si>
    <t>-0.558
(0.446)</t>
  </si>
  <si>
    <t>0.722
(0.424)</t>
  </si>
  <si>
    <t>0.107
(0.049)</t>
  </si>
  <si>
    <t>1.82
(0.33)</t>
  </si>
  <si>
    <t>0.921
(0.266)</t>
  </si>
  <si>
    <t>-0.150
(0.066)</t>
  </si>
  <si>
    <t>0.142
(0.106)</t>
  </si>
  <si>
    <t>0.000
(0.079)</t>
  </si>
  <si>
    <t>0.004
0.040)</t>
  </si>
  <si>
    <t>-0.096
(0.025)</t>
  </si>
  <si>
    <t>0.055
(0.032)</t>
  </si>
  <si>
    <t>0.041
(0.024)</t>
  </si>
  <si>
    <t>-0.048
(0.016)</t>
  </si>
  <si>
    <t>-0.045
(0.016)</t>
  </si>
  <si>
    <t>0.096
(0.055)</t>
  </si>
  <si>
    <t>0.185
(0.097)</t>
  </si>
  <si>
    <t>0.148
(0.063)</t>
  </si>
  <si>
    <t>0.037
(0.009)</t>
  </si>
  <si>
    <t>0.061
(0.011)</t>
  </si>
  <si>
    <t>0.406
(0.189)</t>
  </si>
  <si>
    <t>0.363
(0.167)</t>
  </si>
  <si>
    <t>-0.204
(0.068)</t>
  </si>
  <si>
    <t>-0.119
(0.143)</t>
  </si>
  <si>
    <t>0.387
(0.189)</t>
  </si>
  <si>
    <t>0.343
(0.155)</t>
  </si>
  <si>
    <t>-0.093
(0.073)</t>
  </si>
  <si>
    <t>-0.219
(0.081)</t>
  </si>
  <si>
    <t>0.221
(0.148)</t>
  </si>
  <si>
    <t>-0.058
(0.077)</t>
  </si>
  <si>
    <t>0.311
(0.070)</t>
  </si>
  <si>
    <t>0.050
(0.129)</t>
  </si>
  <si>
    <t>0.874
(0.506)</t>
  </si>
  <si>
    <t>1.51
(0.54)</t>
  </si>
  <si>
    <t>0.317
(0.268)</t>
  </si>
  <si>
    <t>-0.449
(0.382)</t>
  </si>
  <si>
    <t>0.451
(0.375)</t>
  </si>
  <si>
    <t>0.180
(0.215)</t>
  </si>
  <si>
    <t>0.222
(0.196)</t>
  </si>
  <si>
    <t>0.188
(0.242)</t>
  </si>
  <si>
    <t>-0.006
(0.292)</t>
  </si>
  <si>
    <t>-0.046
(0.104)</t>
  </si>
  <si>
    <t>0.027
(0.106)</t>
  </si>
  <si>
    <t>0.350
(0.165)</t>
  </si>
  <si>
    <t>0.196
(0.061)</t>
  </si>
  <si>
    <t>-0.211
(0.060)</t>
  </si>
  <si>
    <t>-0.300
(0.061)</t>
  </si>
  <si>
    <t>0.166
(0.060)</t>
  </si>
  <si>
    <t>0.265
(0.061)</t>
  </si>
  <si>
    <t>-0.094
(0.060)</t>
  </si>
  <si>
    <t>0.487
(0.063)</t>
  </si>
  <si>
    <t>0.457
(0.062)</t>
  </si>
  <si>
    <t>0.337
(0.061)</t>
  </si>
  <si>
    <t>S.d. Units (Cohen's d)</t>
  </si>
  <si>
    <t>(9)</t>
  </si>
  <si>
    <t>Meta-Analysis of Literature (Papers with Similar Treatments on Effort)</t>
  </si>
  <si>
    <t>Online Appendix Table 4. Estimates of Behavioral Parameters, Robustness</t>
  </si>
  <si>
    <t>(10)</t>
  </si>
  <si>
    <t>(11)</t>
  </si>
  <si>
    <t>Online Appendix Table 2. Meta-Analysis of Findings in Literature, Individual Papers, Panel A</t>
  </si>
  <si>
    <t>Online Appendix Table 2. Meta-Analysis of Findings in Literature, Individual Papers, Panel B</t>
  </si>
  <si>
    <t>Online Appendix Table 2. Meta-Analysis of Findings in Literature, Individual Papers, Panel C</t>
  </si>
  <si>
    <t>J. Acquired Immune Deficiency Syndromes</t>
  </si>
  <si>
    <t>J. Applied Social Psych.</t>
  </si>
  <si>
    <t>Online Appendix Table 2. Meta-Analysis of Findings in Literature, Individual Papers, Panel D</t>
  </si>
  <si>
    <t>DellaVigna, List, Malmendier and Rao (2016)</t>
  </si>
  <si>
    <t>OB and Human Decision P.</t>
  </si>
  <si>
    <t>Ac. of Management Journal</t>
  </si>
  <si>
    <t>Very Low Pay</t>
  </si>
  <si>
    <t>Gneezy and Rey-Biel (2014)</t>
  </si>
  <si>
    <r>
      <rPr>
        <b/>
        <sz val="7"/>
        <color theme="1"/>
        <rFont val="Arial"/>
        <family val="2"/>
      </rPr>
      <t>Notes:</t>
    </r>
    <r>
      <rPr>
        <sz val="7"/>
        <color theme="1"/>
        <rFont val="Arial"/>
        <family val="2"/>
      </rPr>
      <t xml:space="preserve"> The Table lists the 18 treatments in the Mturk experiment. The treatments differ just in one paragraph explaining the task and in the vizualization of the points earned. Column (2) reports the key part of the wording of the paragraph. For brevity, we omit from the description the sentence "This bonus will be paid to your account within 24 hours" which applies to all treatments with incentives other than in the Time Preference ones where the payment is delayed. Notice that the bolding is for the benefit of the reader of the Table. In the actual description to the MTurk workers, the whole paragraph was bolded and underlined. Column (1) reports the conceptual grouping of the treaments, Columns (3) and (4) report the number of MTurk subjects in that treatment and the mean number of points, with the standard errors. Column (5) reports the mean forecast among the 208 experts of the points in that treatment. Column (6) reports the standard deviation among the expert forecasts for that treatment. Column (7) reports the difference between the average forecast and the actual average effort, with its standard errror.</t>
    </r>
  </si>
  <si>
    <r>
      <rPr>
        <b/>
        <sz val="7"/>
        <color theme="1"/>
        <rFont val="Arial"/>
        <family val="2"/>
      </rPr>
      <t>Notes:</t>
    </r>
    <r>
      <rPr>
        <sz val="7"/>
        <color theme="1"/>
        <rFont val="Arial"/>
        <family val="2"/>
      </rPr>
      <t xml:space="preserve"> The table lists the 8 treatments considered for our meta-analysis. Column (2) describes the treatment comparison for the control and treatment groups. For example, for the very-low-pay treatment, we compare a treatment with very low piece rate to a treatment with no piece rate. All treatment effect comparisons refer to comparing the two treatments, Columns (3) and (4) report the results of the experiment and expert forecast respectively, in units of Cohen’s d (which we use as the standardized measure of effect size). Columns (5) through (7) report the summary statistics for our meta-analysis of each treatment, listing the total number of papers, the total number of papers with online workers and the total sample size for each treatment. The aggregate Cohen’s d for our meta-analysis of each treatment in columns (8) and (9) are weighted averages across studies, where the weights used are the inverse-variance and Google Scholar citations respectively. For the Charity treatments, notice that one of the three comparisons is redundant with the others, since the set of papers is the same, but we report all three for clarity.</t>
    </r>
  </si>
  <si>
    <r>
      <rPr>
        <b/>
        <sz val="7"/>
        <color theme="1"/>
        <rFont val="Arial"/>
        <family val="2"/>
      </rPr>
      <t>Notes:</t>
    </r>
    <r>
      <rPr>
        <sz val="7"/>
        <color theme="1"/>
        <rFont val="Arial"/>
        <family val="2"/>
      </rPr>
      <t xml:space="preserve"> The Table lists the papers in the meta-analysis of related treatments. We require: (i) a laboratory or field experiment (or natural experiment); (ii) a treatment comparison that matches the one in our study; (iii) an outcome variable about (broadly conceived) effort, such as responding to a survey. For each treatment, we specify a comparison of treatments.</t>
    </r>
  </si>
  <si>
    <t>Lottery Choice</t>
  </si>
  <si>
    <t>J Risk and Uncertainty</t>
  </si>
  <si>
    <t>Type of Probability Weighting Function</t>
  </si>
  <si>
    <t>Implied Probability Weight for 50% Probability</t>
  </si>
  <si>
    <t>Implied Probability Weight for 1% Probability</t>
  </si>
  <si>
    <t>Parameter Estimate</t>
  </si>
  <si>
    <t>Online Appendix Table 3. Meta-Analysis of Probability Weighting Estimates in Literature</t>
  </si>
  <si>
    <t>Kahneman and Tversky (1992)</t>
  </si>
  <si>
    <t>Gonzalez and Wu (1999)</t>
  </si>
  <si>
    <t>Camerer and Ho (1994)</t>
  </si>
  <si>
    <t>Gonzalez and Wu (1996)</t>
  </si>
  <si>
    <t>Harrison, List and Towe (2007)</t>
  </si>
  <si>
    <t>Kilka and Weber (2001)</t>
  </si>
  <si>
    <t>Abdellaoui (2000)</t>
  </si>
  <si>
    <t>Tversky and Fox (1995)</t>
  </si>
  <si>
    <t>Donkers, Melenberg and van Soest (2001)</t>
  </si>
  <si>
    <t>Harrison, Humphrey and Verschoor (2010)</t>
  </si>
  <si>
    <t>Bruhin, Fehr-Duda and Epper (2010)</t>
  </si>
  <si>
    <t>de Brauw and Eozenou (2014)</t>
  </si>
  <si>
    <t>Liu (2013)</t>
  </si>
  <si>
    <t>Tanaka, Camerer and Nguyen (2010)</t>
  </si>
  <si>
    <t>Cognitive Psychology</t>
  </si>
  <si>
    <t>Psychological Review</t>
  </si>
  <si>
    <t>Economic Journal</t>
  </si>
  <si>
    <t>REStat</t>
  </si>
  <si>
    <t>-</t>
  </si>
  <si>
    <t>Barseghyan, Molinari, O'Donoghue and Teitelbaum (2013)</t>
  </si>
  <si>
    <t>Snowberg and Wolfers (2011)</t>
  </si>
  <si>
    <t>Liger and Levy (2009)</t>
  </si>
  <si>
    <t>Aruoba and Kearny (2011)</t>
  </si>
  <si>
    <t>Working paper</t>
  </si>
  <si>
    <t>JPE</t>
  </si>
  <si>
    <t>Kahneman-Tversky</t>
  </si>
  <si>
    <t>Linear-in-log-odds</t>
  </si>
  <si>
    <t>Prelec</t>
  </si>
  <si>
    <t>Semi-nonparametric</t>
  </si>
  <si>
    <t>Stock Forecasts</t>
  </si>
  <si>
    <t>NBA/NFL/Weather Forecasts</t>
  </si>
  <si>
    <t>Crop Choice</t>
  </si>
  <si>
    <t>Insurance Deductible Choice</t>
  </si>
  <si>
    <t>Horse Race Data</t>
  </si>
  <si>
    <t>State Lotteries</t>
  </si>
  <si>
    <t>0.093 (0.003)</t>
  </si>
  <si>
    <t>0.435 (0.010)</t>
  </si>
  <si>
    <t>0.461 (0.010)</t>
  </si>
  <si>
    <t>0.036 (0.002)</t>
  </si>
  <si>
    <t>0.040 (0.001)</t>
  </si>
  <si>
    <t>0.394 (0.007)</t>
  </si>
  <si>
    <t>0.181 (0.013)</t>
  </si>
  <si>
    <t>0.481 (0.002)</t>
  </si>
  <si>
    <t>Setting</t>
  </si>
  <si>
    <t>0.143 (0.011)</t>
  </si>
  <si>
    <t>0.426 (0.001)</t>
  </si>
  <si>
    <t>0.464 (0.002)</t>
  </si>
  <si>
    <t>0.002 (0.000)</t>
  </si>
  <si>
    <t>0.141 (0.003)</t>
  </si>
  <si>
    <t>0.481 (0.001)</t>
  </si>
  <si>
    <t>0.467 (0.001)</t>
  </si>
  <si>
    <t>J Dev. Economics</t>
  </si>
  <si>
    <t>0.057 (0.014)</t>
  </si>
  <si>
    <t>0.460 (0.004)</t>
  </si>
  <si>
    <t>Financial Markets</t>
  </si>
  <si>
    <t>0.053 (0.001)</t>
  </si>
  <si>
    <t>0.426 (0.003)</t>
  </si>
  <si>
    <t>JRU</t>
  </si>
  <si>
    <t>Average Probability Weight from Meta-Analysis</t>
  </si>
  <si>
    <t>π(0.50) = 0.452</t>
  </si>
  <si>
    <t>π(0.01) = 0.060</t>
  </si>
  <si>
    <t>2,142 points (1% of $1)</t>
  </si>
  <si>
    <t>2,023 points (50% of 2c)</t>
  </si>
  <si>
    <t>EMA</t>
  </si>
  <si>
    <t>Notes</t>
  </si>
  <si>
    <t>Paying Too Little versus No Pay</t>
  </si>
  <si>
    <t>We computed Cohen's d for 2 separate experiments based on values reported in the text and in tables 1 and 4.</t>
  </si>
  <si>
    <t>We computed Cohen's d based on values reported in the text and in table A.1.</t>
  </si>
  <si>
    <t>Subjects in the first stage enter on average 120 entries in one hour, so the 2 cents piece rate translates into $2.40 per hour pay for staying for the 2nd round. We decided that this pay was sufficiently low.</t>
  </si>
  <si>
    <t>The two treatment-control comparisons from this paper differ in that in one comparison, the task was described to both control and treatment groups purely as work (which the authors call the work frame), whereas in the second comparison, it was described to both groups as a favor to researchers (which the authors call the social frame).</t>
  </si>
  <si>
    <t>Ranking versus No Pay</t>
  </si>
  <si>
    <t>We defined our treatment group as treatments 1 to 4 pooled (since they all included various elements of ranking). We also only focused on the results from the first exam, since the subjects received rank feedback subsequently. Finally, we derived the treatment group standard deviation using the regression in column (3) of Table 2 which control for subject characteristics (since a regression without these controls was not reported). The outcome variable was normalized by the mean and standard deviation in the control group.</t>
  </si>
  <si>
    <t>Cialdini Comparison</t>
  </si>
  <si>
    <t>The abbreviations QE and EE in treatment summary tables stand for Quick Enrollment and Easy Escalation respectively.</t>
  </si>
  <si>
    <t>The sample sizes we listed are in fact upper bounds, since there was some sample attrition due to students not reenrolling (the authors only reported the numbers before attrition).</t>
  </si>
  <si>
    <t>Slightly different language was used in the two control/treatment comparisons we extracted from this paper.</t>
  </si>
  <si>
    <t>We used two control/treatment comparisons from this paper. In the first, we combined the results for the 3 norm conditions, with the sample size based on the total sample split 6 ways equally (3 parts social norms; 1 part control), and taking the average effect across social norms from table 4. For the second, we combined the results for the 11 norm conditions, with the sample size based on the total sample split 13 ways, and taking the average effect across all social norms in Table 7.</t>
  </si>
  <si>
    <t>Probability weighting</t>
  </si>
  <si>
    <t>Gift Exchange vs. No Pay</t>
  </si>
  <si>
    <t>We coded two treatment/control comparisons for this paper. While both compared the effect of a monetary gift on performance, in one case subjects (in both the control and treatment groups) were told that their managers' payoff depended to a large extent on their performance whereas in the other case subjects were told that their managers' payoff depended on their performance only to a small extent.</t>
  </si>
  <si>
    <t>Online Appendix Table 2. Meta-Analysis of Findings in Literature, Notes, Panel E</t>
  </si>
  <si>
    <t>We consider the $1 pay treatment as very low pay, given that $1 pay for a 15 minute survey was low pay for most typical US consumers.</t>
  </si>
  <si>
    <t>The financial incentive is equivalent to about USD 0.01 per pack of condom sold, where the mean number of packs sold over the entire study period (one year) is about 9. So, we categorize this as a very low financial incentive.</t>
  </si>
  <si>
    <t>This was a selected sample of doctors (GPs) in that the GPs in both the control and treatment arms that we define had not responded to the initial 2 waves of the survey (for which response was not incentivized)</t>
  </si>
  <si>
    <t>Notice that this is a quasi-field experiment, with a time series switch over time. We used unweighted averages of individuals' daily productivity during the period before the firm announced to workers that they will be receiving information about their individual rank, and during the period after the firm announced to the workers but before workers actually started receiving rank feedback, as our "control and treatment groups" respectively. The data required to compute these values was kindly provided to us by the authors.</t>
  </si>
  <si>
    <t>We only used data from the first round, since subjects subsequently started receiving rank feedback. The data for the first round was kindly provided to us by the authors.</t>
  </si>
  <si>
    <t>We pool the treatment arms for the visit and speech by the director and/or the beneficiary since these all treatments all conveyed to subjects (in different ways) the significance of their work.</t>
  </si>
  <si>
    <t>We did not include the treatment where subjects' sheets were shredded since this was a form of "negative" task significance that is quite different from the other task significance treatments.</t>
  </si>
  <si>
    <t>The mixed lottery consisted of a 5% chance of winning a bicle or smartphone worth US $120, 10% chance of winning a standard mophile phone or pair of shoes worth US $45 and 85% chance of winning a food voucher worth US $2.50 (expected value of lottery = $12.50), conditional on undergoing circumcision within 3 months. A potential concern with the comparability of expected values in the control versus treatment groups is that subjects' willingness to pay for some of these items may be lower than the items' retail prices.</t>
  </si>
  <si>
    <t>The randomization in this paper occurred at the dormitory level. We use the data for the earlier December collection period for our analysis.</t>
  </si>
  <si>
    <t>We coded two treatment/control comparisons for this paper. While both compared the effect of a monetary gift on performance, in one case subjects (in both the control and treatment groups) were told that their managers will get a substantial "completion bonus" if enough work gets done. We used number of characters of data entered per minute as the outcome variable. The results obtained using instead the accuracy-corrected rate as dependent variable were qualitatively similar.</t>
  </si>
  <si>
    <t>This meta-analysis includes only the monetary gift arms, not the in-kind gifts, which are not comparable to our treatments.</t>
  </si>
  <si>
    <t>We take the sample sizes and means for the control and treatment groups on pages 858 and 859. Since the standard deviations were not reported in the table, we approximated them using the standard error for the constant from the regression in column 1 of Table 2.</t>
  </si>
  <si>
    <t>Some students in the 67% raise group were told 1 week in advance that they were getting the raise, whereas some got the news immediately before starting the task. Similarly to the authors, we pool the "67% raise before shift 1" group with "the 50% raise before shift 1 (then possibly raised again to 100% before shift 3)" group.</t>
  </si>
  <si>
    <t>We computed the means in the control and treatment groups using data that the authors made available online, using log hourly copies as our outcome variable and dropping observations with missing values of this variable. We use the number of workers who experienced a control/treatment shift as the number of observations in the control/treatment groups.</t>
  </si>
  <si>
    <t>Participants in the "own piece rate group" also had an option to donate. The exact sample sizes for the treatment and control groups separately are not apparent based on the text, so we assumed they were equally sized.</t>
  </si>
  <si>
    <t>Statistics were calculated based on values reported in table 4, as well as summary data kindly provided to us by the authors.</t>
  </si>
  <si>
    <t>There were two main measures of effort -- number of communities the subjects entered per minute, and the number of points the subjects scored per minute. We use the former measure because it was easier to interpret.</t>
  </si>
  <si>
    <t>Implied Effort in Probabilistic Pay Treatments (Assuming Linear Value Function)</t>
  </si>
  <si>
    <t>Implied Effort in Probabilistic Pay Treatments (Assuming Curvature of 0.88 as in TK)</t>
  </si>
  <si>
    <t>Implied Effort in Probabilistic Pay Treatments (Assuming Curvature of 0.7)</t>
  </si>
  <si>
    <t>2,117 points (1% of $1)</t>
  </si>
  <si>
    <t>2,016 points (50% of 2c)</t>
  </si>
  <si>
    <t>2,065 points (1% of $1)</t>
  </si>
  <si>
    <t>2,002 points (50% of 2c)</t>
  </si>
  <si>
    <r>
      <rPr>
        <b/>
        <sz val="7"/>
        <color theme="1"/>
        <rFont val="Arial"/>
        <family val="2"/>
      </rPr>
      <t>Notes:</t>
    </r>
    <r>
      <rPr>
        <sz val="7"/>
        <color theme="1"/>
        <rFont val="Arial"/>
        <family val="2"/>
      </rPr>
      <t xml:space="preserve"> The Table lists papers providing an estimate of the probability weighting function, with the paper and journal (Columns 1 and 2), the Google Scholar citations (Column 3), the setting and type of probability weighting function used (Columns 4 and 5), and the estimated parameter for the probability weighting function, when available (Column 6). The key columns are Column 7 and 8, which report the implied probability weight for a 1 % probability and a 50% probability, given the estimated weighting function in the study. The standard errors, when available, are computed with the delta method. At the bottom of the table we report the parameter for the meta-analysis, equal-weighting across the studies. We also report the implied average effort (point) in the 1% treatment and 50% treatment, assuming different degrees of curvature in the utility function. For the case of no curvature, we take the benchmark estimates of the parameters in Table 5, Column 1, while for the case of curvature we re-estimate the model with minimum-distance on the 3 benchmark moments with the assumed degree of curvature.</t>
    </r>
  </si>
  <si>
    <t>JPubE</t>
  </si>
  <si>
    <t>Charness, Cobo-Reyes and Sanchez (2016)</t>
  </si>
  <si>
    <t>All individuals at this firm used to have rank feedback, and the experimental intervention removed this feedback for some. So, this is slightly different from other papers in this category where the "default" is typically no rank feedback.</t>
  </si>
  <si>
    <t>Coffman et al. (2017)</t>
  </si>
  <si>
    <t>AEJ: Applied</t>
  </si>
  <si>
    <t>1521 (31.23)</t>
  </si>
  <si>
    <t>2175 (24.28)</t>
  </si>
  <si>
    <t>2132 (26.42)</t>
  </si>
  <si>
    <t>1907 (26.85)</t>
  </si>
  <si>
    <t>Mean Effort</t>
  </si>
  <si>
    <t>s.e. Effort</t>
  </si>
  <si>
    <t>graph labels</t>
  </si>
  <si>
    <t>treatment</t>
  </si>
  <si>
    <t>Actual Effort</t>
  </si>
  <si>
    <t>Forecasts</t>
  </si>
  <si>
    <t>Height</t>
  </si>
  <si>
    <t>SE Mean</t>
  </si>
  <si>
    <t>1.96*SE</t>
  </si>
  <si>
    <t>Std Econ</t>
  </si>
  <si>
    <t>Lab Econ</t>
  </si>
  <si>
    <t>Beh Econ</t>
  </si>
  <si>
    <t>Psych</t>
  </si>
  <si>
    <t>Bayesian Shrinkage</t>
  </si>
  <si>
    <t>Mean Effort in Control Group</t>
  </si>
  <si>
    <t>SD in Control Group</t>
  </si>
  <si>
    <t>Sample Size of Control Group</t>
  </si>
  <si>
    <t>Mean Effort in Treatment Group</t>
  </si>
  <si>
    <t>SD in Treatment Group</t>
  </si>
  <si>
    <t>Sample Size of Treatment Group</t>
  </si>
  <si>
    <t>Treatment Effect (TE)</t>
  </si>
  <si>
    <t>TE as fraction of control mean</t>
  </si>
  <si>
    <t>TE in units of control sd</t>
  </si>
  <si>
    <t>Pooled SD</t>
  </si>
  <si>
    <t>SE of TE</t>
  </si>
  <si>
    <t>t-value</t>
  </si>
  <si>
    <t>SE of Cohen's d</t>
  </si>
  <si>
    <t>439</t>
  </si>
  <si>
    <t>Figure 1</t>
  </si>
  <si>
    <t>Figure 2</t>
  </si>
  <si>
    <t>Figure 3</t>
  </si>
  <si>
    <t>Figure 4</t>
  </si>
  <si>
    <t>percentage below</t>
  </si>
  <si>
    <t>4c bonus</t>
  </si>
  <si>
    <t>1c Red Cross</t>
  </si>
  <si>
    <t>10c Red Cross</t>
  </si>
  <si>
    <t>1c 2Wks</t>
  </si>
  <si>
    <t>1c 4Wks</t>
  </si>
  <si>
    <t>Prob.01</t>
  </si>
  <si>
    <t>Prob.5</t>
  </si>
  <si>
    <t>Gain 40c</t>
  </si>
  <si>
    <t>Loss 40c</t>
  </si>
  <si>
    <t>Gain 80c</t>
  </si>
  <si>
    <t>SocialComp</t>
  </si>
  <si>
    <t>TaskSignif</t>
  </si>
  <si>
    <t>GiftExchange</t>
  </si>
  <si>
    <t>Benchmark (not affect)</t>
  </si>
  <si>
    <t>Benchmark (1 Cent)</t>
  </si>
  <si>
    <t>Benchmark (4 Cents)</t>
  </si>
  <si>
    <t>actual</t>
  </si>
  <si>
    <t>sd</t>
  </si>
  <si>
    <t>treatment_t4</t>
  </si>
  <si>
    <t>treatment_t5</t>
  </si>
  <si>
    <t>treatment_t6</t>
  </si>
  <si>
    <t>treatment_t7</t>
  </si>
  <si>
    <t>treatment_t8</t>
  </si>
  <si>
    <t>treatment_t9</t>
  </si>
  <si>
    <t>treatment_t13</t>
  </si>
  <si>
    <t>treatment_t14</t>
  </si>
  <si>
    <t>treatment_t10</t>
  </si>
  <si>
    <t>treatment_t11</t>
  </si>
  <si>
    <t>treatment_t12</t>
  </si>
  <si>
    <t>treatment_t15</t>
  </si>
  <si>
    <t>treatment_t16</t>
  </si>
  <si>
    <t>treatment_t17</t>
  </si>
  <si>
    <t>treatment_t18</t>
  </si>
  <si>
    <t>gridlines</t>
  </si>
  <si>
    <t>grid x var</t>
  </si>
  <si>
    <t>grid1</t>
  </si>
  <si>
    <t>grid2</t>
  </si>
  <si>
    <t>grid3</t>
  </si>
  <si>
    <t>treatment_t1_actual</t>
  </si>
  <si>
    <t>treatment_t2_actual</t>
  </si>
  <si>
    <t>treatment_t3_actual</t>
  </si>
  <si>
    <t>treatment_t4_actual</t>
  </si>
  <si>
    <t>treatment_t5_actual</t>
  </si>
  <si>
    <t>treatment_t6_actual</t>
  </si>
  <si>
    <t>treatment_t7_actual</t>
  </si>
  <si>
    <t>treatment_t8_actual</t>
  </si>
  <si>
    <t>treatment_t9_actual</t>
  </si>
  <si>
    <t>treatment_t13_actual</t>
  </si>
  <si>
    <t>treatment_t14_actual</t>
  </si>
  <si>
    <t>treatment_t10_actual</t>
  </si>
  <si>
    <t>treatment_t11_actual</t>
  </si>
  <si>
    <t>treatment_t12_actual</t>
  </si>
  <si>
    <t>treatment_t15_actual</t>
  </si>
  <si>
    <t>treatment_t16_actual</t>
  </si>
  <si>
    <t>treatment_t17_actual</t>
  </si>
  <si>
    <t>treatment_t18_actual</t>
  </si>
  <si>
    <t>No Payment</t>
  </si>
  <si>
    <t>1c PieceRate</t>
  </si>
  <si>
    <t>10c PieceRate</t>
  </si>
  <si>
    <t>4c PieceRate</t>
  </si>
  <si>
    <t>1c RedCross</t>
  </si>
  <si>
    <t>10c RedCross</t>
  </si>
  <si>
    <t>Prob.01 $1</t>
  </si>
  <si>
    <t>Prob.5 2c</t>
  </si>
  <si>
    <t>Social Comp</t>
  </si>
  <si>
    <t>Task Signif</t>
  </si>
  <si>
    <t>(-8e-04,0.76)</t>
  </si>
  <si>
    <t>(-0.176,0.54)</t>
  </si>
  <si>
    <t>(0.27,1.2)</t>
  </si>
  <si>
    <t>(-1.56,4.28)</t>
  </si>
  <si>
    <t>(0.62,1)</t>
  </si>
  <si>
    <t>(0.261,1.24)</t>
  </si>
  <si>
    <t>(-0.132,0.417)</t>
  </si>
  <si>
    <t>(4.5e-05,0.74)</t>
  </si>
  <si>
    <t>(0.29,1.2)</t>
  </si>
  <si>
    <t>(-1.3,3.77)</t>
  </si>
  <si>
    <t>(0.3,1.2)</t>
  </si>
  <si>
    <t>(0.65,1)</t>
  </si>
  <si>
    <t>(0.283,1.22)</t>
  </si>
  <si>
    <t>7.608                           (Expected log effort)</t>
  </si>
  <si>
    <t>7.429                            (expected log effort)</t>
  </si>
  <si>
    <t>(7.63E-06)</t>
  </si>
  <si>
    <t>(3.49E-05)</t>
  </si>
  <si>
    <t>(2.16E-07)</t>
  </si>
  <si>
    <t>(3.59E-05)</t>
  </si>
  <si>
    <t>(0.125,0.738)</t>
  </si>
  <si>
    <t>(0.042,1.4)</t>
  </si>
  <si>
    <t>(-0.025,0.145)</t>
  </si>
  <si>
    <t>(-0.216,0.842)</t>
  </si>
  <si>
    <t>(0.7,1.7)</t>
  </si>
  <si>
    <t>(-1.46,3.36)</t>
  </si>
  <si>
    <t>(-0.971,3.38)</t>
  </si>
  <si>
    <t>(0.6,2.1)</t>
  </si>
  <si>
    <t>(-1.24,3.54)</t>
  </si>
  <si>
    <t>(0.28,1.2)</t>
  </si>
  <si>
    <t>(0.75,1)</t>
  </si>
  <si>
    <t>(0.58,1)</t>
  </si>
  <si>
    <t>(0.68,1)</t>
  </si>
  <si>
    <t>(0.2,4.9)</t>
  </si>
  <si>
    <t>(2,4.4)</t>
  </si>
  <si>
    <t>(cent per point)</t>
  </si>
  <si>
    <t>(10.251)</t>
  </si>
  <si>
    <t>(1.11E-69)</t>
  </si>
  <si>
    <t>(9.63E-06)</t>
  </si>
  <si>
    <t>(5.266)</t>
  </si>
  <si>
    <t>(0.0054)</t>
  </si>
  <si>
    <t>(4.87E-12)</t>
  </si>
  <si>
    <t>(2.32E-05)</t>
  </si>
  <si>
    <t>(0.0039)</t>
  </si>
  <si>
    <t>(scale of 1 cent altruism)</t>
  </si>
  <si>
    <t>(-0.024,0.042)</t>
  </si>
  <si>
    <t>(0.003,0.6)</t>
  </si>
  <si>
    <t>(0.09,11)</t>
  </si>
  <si>
    <t>(0.33,1.5)</t>
  </si>
  <si>
    <t>(-0.024,0.041)</t>
  </si>
  <si>
    <t>(0.005,0.61)</t>
  </si>
  <si>
    <t>(0.09,9.9)</t>
  </si>
  <si>
    <t>(0.34,1.4)</t>
  </si>
  <si>
    <t>Citations</t>
  </si>
  <si>
    <t>(2.36E-68)</t>
  </si>
  <si>
    <t>(8.16E-06)</t>
  </si>
  <si>
    <t>(14.1E-16)</t>
  </si>
  <si>
    <t>(8.81E-06)</t>
  </si>
  <si>
    <t>(1.45E-68)</t>
  </si>
  <si>
    <t>(1.16E-62)</t>
  </si>
  <si>
    <t>(-0.032,0.046)</t>
  </si>
  <si>
    <t>(-0.48,3.97)</t>
  </si>
  <si>
    <t>(-0.01,0.014)</t>
  </si>
  <si>
    <t>(-0.017,0.024)</t>
  </si>
  <si>
    <t>(0.006,0.67)</t>
  </si>
  <si>
    <t>(-0.033,0.047)</t>
  </si>
  <si>
    <t>(0.004,1.5)</t>
  </si>
  <si>
    <t>(-0.0002,0.7)</t>
  </si>
  <si>
    <t>(-0.006,0.42)</t>
  </si>
  <si>
    <t>(0.51,1.16)</t>
  </si>
  <si>
    <t>(0.16,1.24)</t>
  </si>
  <si>
    <t>(0.35,1.21)</t>
  </si>
  <si>
    <t>(0.28,1.25)</t>
  </si>
  <si>
    <t>(-7E-8,8E-5)</t>
  </si>
  <si>
    <t>(2E-6,2E-4)</t>
  </si>
  <si>
    <t>(-7E-5,1E-4)</t>
  </si>
  <si>
    <t>(-2E-7,1.3E-4)</t>
  </si>
  <si>
    <t>(4.5E-6,2.8E-4)</t>
  </si>
  <si>
    <t>(-7E-5,1.2E-4)</t>
  </si>
  <si>
    <t>(5E-6,3E-4)</t>
  </si>
  <si>
    <t>(-1E-4,0.71)</t>
  </si>
  <si>
    <t>(-0.018,0.025)</t>
  </si>
  <si>
    <t>(0.002,0.53)</t>
  </si>
  <si>
    <t>(-0.024,0.037)</t>
  </si>
  <si>
    <t>(0.002,0.51)</t>
  </si>
  <si>
    <t>(0.01,0.34)</t>
  </si>
  <si>
    <t>(-6.7E-5,7E-4)</t>
  </si>
  <si>
    <t>(1E-4,1.5E-3)</t>
  </si>
  <si>
    <t>(-2E-6,8E-6)</t>
  </si>
  <si>
    <t>(6E-7,8E-5)</t>
  </si>
  <si>
    <t>(-2E-4,4E-4)</t>
  </si>
  <si>
    <t>(2E-5,8E-4)</t>
  </si>
  <si>
    <t>(-6E-5,1E-4)</t>
  </si>
  <si>
    <t>(4E-6,2.7E-4)</t>
  </si>
  <si>
    <t>(-0.13,0.41)</t>
  </si>
  <si>
    <t>(0.001,0.69)</t>
  </si>
  <si>
    <r>
      <t>Notes:</t>
    </r>
    <r>
      <rPr>
        <sz val="7"/>
        <rFont val="Arial"/>
        <family val="2"/>
      </rPr>
      <t xml:space="preserve"> Panel A reports the structural estimates of the model in Section 2. Columns (1) and (3) use a minimum-distance estimator employing 3 moments (average effort in three benchmark treatments) and 3 parameters, and is thus exactly identified. We estimate the model under two assumptions, a power cost of effort function (Column (1)) and an exponential cost of effort function (Column (3)). The standard errors are derived via a bootstrap with 1,000 draws. Columns (2) and (4) use a non-linear least squares specification using the individual effort of MTurkers (rounded to the nearest 100) in the 3 benchmark treatments.  In the rows displaying the implied effort we compute the predicted effort given the parameters for the 4-cent treatment and the low-pay treatment. For the low-pay treatment in Column 4, in addition we present two alternative predictions which explicitly model the discontinuity in payoffs, with very similar results (see Appendix A for details). Panel B presents estimates for the behavioral parameters. Columns (1) and (4) use cost function parameters (from panel A columns (1) and (3) respectively), and relevant treatments moments to calculate the behavioral parameters. The confidence intervals are derived by bootstrapping the workers and redoing the same exercise, including estimation of the cost function parameters, then taking the 2.5th and 97.5th percentiles. Columns (3) and (6) are the results of an NLS estimation using all relevant moments (benchmark plus gift exchange, time-delay and charitable giving). Columns (2), (5), and (7) calculate the implied behavioral parameters using the cost function parameters from panel A columns, and the individual expert's forecast per each relevant treatment - we report the median, 25th, and 75th percentile implied parameters. We do not elicit parameters for the experts under the power cost function for the non-linear least squares estimate since we did not ask for the expected log effort, which is the key variable for that model.</t>
    </r>
  </si>
  <si>
    <t>Citation Weight</t>
  </si>
  <si>
    <t>Citation-Weighted Cohen's d:</t>
  </si>
  <si>
    <t>S.E. of Citation-Weighted Cohen's d:</t>
  </si>
  <si>
    <t>Implied Cohen's d from MTurks' Effort:</t>
  </si>
  <si>
    <t>S.E. of Implied Cohen's d from MTurks' Effort:</t>
  </si>
  <si>
    <t>Experts' Cohen's d:</t>
  </si>
  <si>
    <t>S.E. of Experts' Cohen's d:</t>
  </si>
  <si>
    <t>Implications from Mturks' Effort</t>
  </si>
  <si>
    <t>Implications from Experts' Forecasts</t>
  </si>
  <si>
    <t>Inverse-Variance of Cohen's d S.E.</t>
  </si>
  <si>
    <t>Inverse-Variance Weight for Aggregate Cohen's S.E.</t>
  </si>
  <si>
    <t>Inverse-Variance Weighted Cohen's d:</t>
  </si>
  <si>
    <t>S.E. of Inverse-Variance Weighted Cohen's d:</t>
  </si>
  <si>
    <t>Meta-Analysis Forecast of MTurk Effort:</t>
  </si>
  <si>
    <t>S.E. of Meta-Analysis Forecast of MTurk Effort:</t>
  </si>
  <si>
    <t>Citation-Weighted Meta-Analysis Forecast of MTurk Effort:</t>
  </si>
  <si>
    <t>S.E. of Citation-Weighted Meta-Analysis Forecast of MTurk Effort:</t>
  </si>
  <si>
    <t>S.D. of Expert Forecasts:</t>
  </si>
  <si>
    <t>Number of Experts:</t>
  </si>
  <si>
    <t>S.E. of Expert Forecast:</t>
  </si>
  <si>
    <t>0.521
(0.063)</t>
  </si>
  <si>
    <t>Minimum Distance Est.</t>
  </si>
  <si>
    <t>NLS Estimates</t>
  </si>
  <si>
    <t xml:space="preserve">Probability Weighting π(1%) </t>
  </si>
  <si>
    <t>Implied Probability Weighting π(1%) by Experts</t>
  </si>
  <si>
    <t>Calculations: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</si>
</sst>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
    <numFmt numFmtId="165" formatCode="0.0"/>
    <numFmt numFmtId="166" formatCode="0.000"/>
    <numFmt numFmtId="167" formatCode="#,##0.0000_);\(#,##0.0000\)"/>
    <numFmt numFmtId="168" formatCode="0.0000"/>
    <numFmt numFmtId="169" formatCode="0.0000E+00"/>
    <numFmt numFmtId="171" formatCode="0.0E+00"/>
    <numFmt numFmtId="172" formatCode="0.0%"/>
  </numFmts>
  <fonts count="46" x14ac:knownFonts="1">
    <font>
      <sz val="11"/>
      <color theme="1"/>
      <name val="Calibri"/>
      <family val="2"/>
      <scheme val="minor"/>
    </font>
    <font>
      <sz val="12"/>
      <color theme="1"/>
      <name val="Calibri"/>
      <family val="2"/>
      <scheme val="minor"/>
    </font>
    <font>
      <sz val="11"/>
      <color theme="1"/>
      <name val="Calibri"/>
      <family val="2"/>
      <scheme val="minor"/>
    </font>
    <font>
      <b/>
      <u/>
      <sz val="12"/>
      <name val="Arial"/>
      <family val="2"/>
    </font>
    <font>
      <sz val="10"/>
      <name val="Arial"/>
      <family val="2"/>
    </font>
    <font>
      <b/>
      <u/>
      <sz val="10"/>
      <name val="Arial"/>
      <family val="2"/>
    </font>
    <font>
      <b/>
      <sz val="12"/>
      <color theme="1"/>
      <name val="Arial"/>
      <family val="2"/>
    </font>
    <font>
      <sz val="11"/>
      <color theme="1"/>
      <name val="Arial"/>
      <family val="2"/>
    </font>
    <font>
      <b/>
      <sz val="11"/>
      <color theme="1"/>
      <name val="Arial"/>
      <family val="2"/>
    </font>
    <font>
      <sz val="10"/>
      <color theme="1"/>
      <name val="Arial"/>
      <family val="2"/>
    </font>
    <font>
      <sz val="10"/>
      <color rgb="FF000000"/>
      <name val="Arial"/>
      <family val="2"/>
    </font>
    <font>
      <b/>
      <sz val="10"/>
      <color rgb="FF000000"/>
      <name val="Arial"/>
      <family val="2"/>
    </font>
    <font>
      <i/>
      <sz val="10"/>
      <color theme="1"/>
      <name val="Arial"/>
      <family val="2"/>
    </font>
    <font>
      <i/>
      <sz val="10"/>
      <color rgb="FF000000"/>
      <name val="Arial"/>
      <family val="2"/>
    </font>
    <font>
      <b/>
      <sz val="10"/>
      <color theme="1"/>
      <name val="Arial"/>
      <family val="2"/>
    </font>
    <font>
      <sz val="7"/>
      <color theme="1"/>
      <name val="Arial"/>
      <family val="2"/>
    </font>
    <font>
      <b/>
      <sz val="7"/>
      <color theme="1"/>
      <name val="Arial"/>
      <family val="2"/>
    </font>
    <font>
      <sz val="12"/>
      <name val="Arial"/>
      <family val="2"/>
    </font>
    <font>
      <b/>
      <sz val="10"/>
      <name val="Arial"/>
      <family val="2"/>
    </font>
    <font>
      <b/>
      <i/>
      <sz val="10"/>
      <name val="Arial"/>
      <family val="2"/>
    </font>
    <font>
      <b/>
      <i/>
      <sz val="10"/>
      <color theme="1"/>
      <name val="Arial"/>
      <family val="2"/>
    </font>
    <font>
      <b/>
      <sz val="7"/>
      <name val="Arial"/>
      <family val="2"/>
    </font>
    <font>
      <sz val="7"/>
      <name val="Arial"/>
      <family val="2"/>
    </font>
    <font>
      <b/>
      <i/>
      <u/>
      <sz val="10"/>
      <name val="Arial"/>
      <family val="2"/>
    </font>
    <font>
      <b/>
      <sz val="11"/>
      <color theme="1"/>
      <name val="Calibri"/>
      <family val="2"/>
      <scheme val="minor"/>
    </font>
    <font>
      <sz val="10"/>
      <color theme="1"/>
      <name val="Calibri"/>
      <family val="2"/>
      <scheme val="minor"/>
    </font>
    <font>
      <sz val="11"/>
      <name val="Calibri"/>
      <family val="2"/>
      <scheme val="minor"/>
    </font>
    <font>
      <sz val="10"/>
      <color rgb="FFFF0000"/>
      <name val="Arial"/>
      <family val="2"/>
    </font>
    <font>
      <b/>
      <sz val="10"/>
      <color theme="1"/>
      <name val="Calibri"/>
      <family val="2"/>
    </font>
    <font>
      <b/>
      <sz val="10"/>
      <name val="Calibri"/>
      <family val="2"/>
    </font>
    <font>
      <i/>
      <sz val="10"/>
      <name val="Arial"/>
      <family val="2"/>
    </font>
    <font>
      <u/>
      <sz val="11"/>
      <color theme="10"/>
      <name val="Calibri"/>
      <family val="2"/>
      <scheme val="minor"/>
    </font>
    <font>
      <u/>
      <sz val="11"/>
      <color theme="11"/>
      <name val="Calibri"/>
      <family val="2"/>
      <scheme val="minor"/>
    </font>
    <font>
      <sz val="11"/>
      <name val="Arial"/>
      <family val="2"/>
    </font>
    <font>
      <sz val="12"/>
      <color theme="1"/>
      <name val="Calibri"/>
      <family val="2"/>
      <scheme val="minor"/>
    </font>
    <font>
      <b/>
      <sz val="11"/>
      <color indexed="8"/>
      <name val="Calibri"/>
      <family val="2"/>
      <scheme val="minor"/>
    </font>
    <font>
      <sz val="11"/>
      <color rgb="FF000000"/>
      <name val="Calibri"/>
      <family val="2"/>
      <scheme val="minor"/>
    </font>
    <font>
      <sz val="8"/>
      <name val="Calibri"/>
      <family val="2"/>
      <scheme val="minor"/>
    </font>
    <font>
      <b/>
      <sz val="10"/>
      <color rgb="FF9900FF"/>
      <name val="Arial"/>
      <family val="2"/>
    </font>
    <font>
      <sz val="10"/>
      <color rgb="FF9900FF"/>
      <name val="Arial"/>
      <family val="2"/>
    </font>
    <font>
      <sz val="11"/>
      <name val="Calibri"/>
      <family val="2"/>
    </font>
    <font>
      <b/>
      <sz val="11"/>
      <name val="Calibri"/>
      <family val="2"/>
    </font>
    <font>
      <sz val="11"/>
      <color rgb="FF000000"/>
      <name val="Arial"/>
      <family val="2"/>
    </font>
    <font>
      <i/>
      <sz val="11"/>
      <color theme="1"/>
      <name val="Arial"/>
    </font>
    <font>
      <i/>
      <sz val="10"/>
      <color rgb="FF9900FF"/>
      <name val="Arial"/>
    </font>
    <font>
      <i/>
      <sz val="11"/>
      <color rgb="FF000000"/>
      <name val="Arial"/>
    </font>
  </fonts>
  <fills count="3">
    <fill>
      <patternFill patternType="none"/>
    </fill>
    <fill>
      <patternFill patternType="gray125"/>
    </fill>
    <fill>
      <patternFill patternType="solid">
        <fgColor theme="0"/>
        <bgColor indexed="64"/>
      </patternFill>
    </fill>
  </fills>
  <borders count="12">
    <border>
      <left/>
      <right/>
      <top/>
      <bottom/>
      <diagonal/>
    </border>
    <border>
      <left/>
      <right/>
      <top/>
      <bottom style="double">
        <color auto="1"/>
      </bottom>
      <diagonal/>
    </border>
    <border>
      <left/>
      <right/>
      <top/>
      <bottom style="thin">
        <color auto="1"/>
      </bottom>
      <diagonal/>
    </border>
    <border>
      <left/>
      <right/>
      <top style="thin">
        <color auto="1"/>
      </top>
      <bottom/>
      <diagonal/>
    </border>
    <border>
      <left/>
      <right/>
      <top style="double">
        <color auto="1"/>
      </top>
      <bottom/>
      <diagonal/>
    </border>
    <border>
      <left/>
      <right/>
      <top style="thin">
        <color auto="1"/>
      </top>
      <bottom style="thin">
        <color auto="1"/>
      </bottom>
      <diagonal/>
    </border>
    <border>
      <left/>
      <right/>
      <top style="thin">
        <color auto="1"/>
      </top>
      <bottom style="double">
        <color auto="1"/>
      </bottom>
      <diagonal/>
    </border>
    <border>
      <left/>
      <right/>
      <top/>
      <bottom style="hair">
        <color auto="1"/>
      </bottom>
      <diagonal/>
    </border>
    <border>
      <left/>
      <right/>
      <top style="hair">
        <color auto="1"/>
      </top>
      <bottom style="hair">
        <color auto="1"/>
      </bottom>
      <diagonal/>
    </border>
    <border>
      <left/>
      <right/>
      <top style="hair">
        <color auto="1"/>
      </top>
      <bottom style="thin">
        <color auto="1"/>
      </bottom>
      <diagonal/>
    </border>
    <border>
      <left/>
      <right/>
      <top style="hair">
        <color auto="1"/>
      </top>
      <bottom/>
      <diagonal/>
    </border>
    <border>
      <left/>
      <right/>
      <top style="thin">
        <color auto="1"/>
      </top>
      <bottom style="hair">
        <color auto="1"/>
      </bottom>
      <diagonal/>
    </border>
  </borders>
  <cellStyleXfs count="449">
    <xf numFmtId="0" fontId="0" fillId="0" borderId="0"/>
    <xf numFmtId="0" fontId="4" fillId="0" borderId="0"/>
    <xf numFmtId="0" fontId="2" fillId="0" borderId="0"/>
    <xf numFmtId="0" fontId="2" fillId="0" borderId="0"/>
    <xf numFmtId="0" fontId="2" fillId="0" borderId="0"/>
    <xf numFmtId="9" fontId="2"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4" fillId="0" borderId="0"/>
    <xf numFmtId="0" fontId="31" fillId="0" borderId="0" applyNumberFormat="0" applyFill="0" applyBorder="0" applyAlignment="0" applyProtection="0"/>
    <xf numFmtId="0" fontId="32" fillId="0" borderId="0" applyNumberFormat="0" applyFill="0" applyBorder="0" applyAlignment="0" applyProtection="0"/>
    <xf numFmtId="0" fontId="1" fillId="0" borderId="0"/>
    <xf numFmtId="0" fontId="4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366">
    <xf numFmtId="0" fontId="0" fillId="0" borderId="0" xfId="0"/>
    <xf numFmtId="0" fontId="3" fillId="0" borderId="1" xfId="1" applyFont="1" applyBorder="1" applyAlignment="1">
      <alignment wrapText="1"/>
    </xf>
    <xf numFmtId="0" fontId="3" fillId="0" borderId="0" xfId="1" applyFont="1" applyBorder="1" applyAlignment="1">
      <alignment horizontal="center" wrapText="1"/>
    </xf>
    <xf numFmtId="0" fontId="7" fillId="0" borderId="0" xfId="0" applyFont="1"/>
    <xf numFmtId="0" fontId="8" fillId="0" borderId="0" xfId="0" applyFont="1"/>
    <xf numFmtId="0" fontId="7" fillId="0" borderId="0" xfId="0" applyFont="1" applyAlignment="1">
      <alignment wrapText="1"/>
    </xf>
    <xf numFmtId="0" fontId="9" fillId="0" borderId="0" xfId="0" applyFont="1"/>
    <xf numFmtId="3" fontId="7" fillId="0" borderId="0" xfId="0" applyNumberFormat="1" applyFont="1"/>
    <xf numFmtId="164" fontId="7" fillId="0" borderId="0" xfId="0" applyNumberFormat="1" applyFont="1"/>
    <xf numFmtId="165" fontId="7" fillId="0" borderId="0" xfId="0" applyNumberFormat="1" applyFont="1"/>
    <xf numFmtId="3" fontId="9" fillId="0" borderId="0" xfId="0" applyNumberFormat="1" applyFont="1"/>
    <xf numFmtId="1" fontId="9" fillId="0" borderId="0" xfId="0" applyNumberFormat="1" applyFont="1" applyAlignment="1">
      <alignment horizontal="center"/>
    </xf>
    <xf numFmtId="2" fontId="9" fillId="0" borderId="0" xfId="0" applyNumberFormat="1" applyFont="1" applyAlignment="1">
      <alignment horizontal="center"/>
    </xf>
    <xf numFmtId="164" fontId="9" fillId="0" borderId="0" xfId="0" applyNumberFormat="1" applyFont="1"/>
    <xf numFmtId="165" fontId="9" fillId="0" borderId="0" xfId="0" applyNumberFormat="1" applyFont="1"/>
    <xf numFmtId="3" fontId="9" fillId="0" borderId="2" xfId="0" applyNumberFormat="1" applyFont="1" applyBorder="1"/>
    <xf numFmtId="1" fontId="9" fillId="0" borderId="2" xfId="0" applyNumberFormat="1" applyFont="1" applyBorder="1" applyAlignment="1">
      <alignment horizontal="center"/>
    </xf>
    <xf numFmtId="0" fontId="9" fillId="0" borderId="0" xfId="0" applyFont="1" applyAlignment="1">
      <alignment horizontal="center"/>
    </xf>
    <xf numFmtId="49" fontId="8" fillId="0" borderId="0" xfId="0" applyNumberFormat="1" applyFont="1" applyBorder="1" applyAlignment="1">
      <alignment horizontal="center"/>
    </xf>
    <xf numFmtId="0" fontId="8" fillId="0" borderId="5" xfId="0" applyFont="1" applyBorder="1"/>
    <xf numFmtId="0" fontId="7" fillId="0" borderId="5" xfId="0" quotePrefix="1" applyFont="1" applyBorder="1" applyAlignment="1">
      <alignment horizontal="center"/>
    </xf>
    <xf numFmtId="0" fontId="9" fillId="0" borderId="0" xfId="0" applyFont="1" applyBorder="1" applyAlignment="1">
      <alignment vertical="center" wrapText="1"/>
    </xf>
    <xf numFmtId="0" fontId="9" fillId="0" borderId="0" xfId="0" applyFont="1" applyBorder="1"/>
    <xf numFmtId="0" fontId="9" fillId="0" borderId="6" xfId="0" applyFont="1" applyBorder="1"/>
    <xf numFmtId="0" fontId="10" fillId="0" borderId="0" xfId="0" applyFont="1" applyBorder="1" applyAlignment="1">
      <alignment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9" fillId="0" borderId="2" xfId="0" applyFont="1" applyBorder="1" applyAlignment="1">
      <alignment vertical="center" wrapText="1"/>
    </xf>
    <xf numFmtId="0" fontId="9" fillId="0" borderId="2" xfId="0" applyFont="1" applyBorder="1" applyAlignment="1">
      <alignment horizontal="center" vertical="center" wrapText="1"/>
    </xf>
    <xf numFmtId="0" fontId="9" fillId="0" borderId="2" xfId="0" applyFont="1" applyBorder="1"/>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6"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horizontal="center" vertical="center"/>
    </xf>
    <xf numFmtId="0" fontId="7" fillId="0" borderId="2" xfId="0" quotePrefix="1" applyFont="1" applyBorder="1" applyAlignment="1">
      <alignment horizontal="center" vertical="center" wrapText="1"/>
    </xf>
    <xf numFmtId="0" fontId="8" fillId="0" borderId="5" xfId="0" applyFont="1" applyBorder="1" applyAlignment="1">
      <alignment horizontal="center" vertical="center" wrapText="1"/>
    </xf>
    <xf numFmtId="0" fontId="8" fillId="0" borderId="5" xfId="0" applyFont="1" applyBorder="1" applyAlignment="1">
      <alignment horizontal="center" vertical="center"/>
    </xf>
    <xf numFmtId="0" fontId="9" fillId="0" borderId="7" xfId="0" applyFont="1" applyBorder="1" applyAlignment="1">
      <alignment vertical="center" wrapText="1"/>
    </xf>
    <xf numFmtId="0" fontId="9" fillId="0" borderId="9" xfId="0" applyFont="1" applyBorder="1" applyAlignment="1">
      <alignment vertical="center" wrapText="1"/>
    </xf>
    <xf numFmtId="0" fontId="9" fillId="0" borderId="0" xfId="2" applyFont="1"/>
    <xf numFmtId="0" fontId="3" fillId="0" borderId="3" xfId="2" applyFont="1" applyBorder="1" applyAlignment="1">
      <alignment wrapText="1"/>
    </xf>
    <xf numFmtId="0" fontId="17" fillId="0" borderId="1" xfId="1" applyFont="1" applyBorder="1"/>
    <xf numFmtId="0" fontId="17" fillId="0" borderId="1" xfId="1" applyFont="1" applyFill="1" applyBorder="1" applyAlignment="1">
      <alignment horizontal="center"/>
    </xf>
    <xf numFmtId="0" fontId="17" fillId="0" borderId="0" xfId="1" applyFont="1" applyFill="1" applyBorder="1" applyAlignment="1">
      <alignment horizontal="center"/>
    </xf>
    <xf numFmtId="0" fontId="4" fillId="0" borderId="0" xfId="1" applyBorder="1"/>
    <xf numFmtId="0" fontId="4" fillId="0" borderId="0" xfId="1"/>
    <xf numFmtId="0" fontId="5" fillId="0" borderId="0" xfId="2" applyFont="1" applyBorder="1" applyAlignment="1">
      <alignment horizontal="center" wrapText="1"/>
    </xf>
    <xf numFmtId="0" fontId="4" fillId="0" borderId="0" xfId="2" applyFont="1" applyBorder="1" applyAlignment="1">
      <alignment horizontal="center" wrapText="1"/>
    </xf>
    <xf numFmtId="0" fontId="9" fillId="0" borderId="2" xfId="3" applyFont="1" applyBorder="1"/>
    <xf numFmtId="0" fontId="4" fillId="0" borderId="2" xfId="3" applyFont="1" applyBorder="1"/>
    <xf numFmtId="37" fontId="4" fillId="0" borderId="2" xfId="3" applyNumberFormat="1" applyFont="1" applyBorder="1" applyAlignment="1">
      <alignment horizontal="center" wrapText="1"/>
    </xf>
    <xf numFmtId="0" fontId="4" fillId="0" borderId="2" xfId="3" applyFont="1" applyBorder="1" applyAlignment="1">
      <alignment horizontal="center" wrapText="1"/>
    </xf>
    <xf numFmtId="0" fontId="19" fillId="0" borderId="0" xfId="3" applyFont="1" applyBorder="1"/>
    <xf numFmtId="0" fontId="9" fillId="0" borderId="0" xfId="3" applyFont="1" applyBorder="1"/>
    <xf numFmtId="37" fontId="4" fillId="0" borderId="0" xfId="3" applyNumberFormat="1" applyFont="1" applyBorder="1" applyAlignment="1">
      <alignment horizontal="center" wrapText="1"/>
    </xf>
    <xf numFmtId="0" fontId="4" fillId="0" borderId="0" xfId="3" applyFont="1" applyBorder="1" applyAlignment="1">
      <alignment horizontal="center" wrapText="1"/>
    </xf>
    <xf numFmtId="0" fontId="4" fillId="0" borderId="0" xfId="1" applyFont="1" applyAlignment="1">
      <alignment horizontal="center"/>
    </xf>
    <xf numFmtId="2" fontId="4" fillId="0" borderId="0" xfId="2" applyNumberFormat="1" applyFont="1" applyBorder="1" applyAlignment="1">
      <alignment horizontal="center"/>
    </xf>
    <xf numFmtId="0" fontId="9" fillId="0" borderId="0" xfId="2" applyFont="1" applyBorder="1"/>
    <xf numFmtId="0" fontId="18" fillId="0" borderId="3" xfId="2" applyFont="1" applyBorder="1" applyAlignment="1">
      <alignment vertical="top" wrapText="1" shrinkToFit="1"/>
    </xf>
    <xf numFmtId="0" fontId="22" fillId="0" borderId="0" xfId="1" applyFont="1" applyAlignment="1">
      <alignment wrapText="1"/>
    </xf>
    <xf numFmtId="0" fontId="22" fillId="0" borderId="0" xfId="1" applyFont="1" applyBorder="1" applyAlignment="1">
      <alignment horizontal="left" wrapText="1"/>
    </xf>
    <xf numFmtId="0" fontId="23" fillId="0" borderId="0" xfId="3" applyFont="1" applyBorder="1"/>
    <xf numFmtId="0" fontId="14" fillId="0" borderId="2" xfId="3" applyFont="1" applyBorder="1"/>
    <xf numFmtId="0" fontId="18" fillId="0" borderId="2" xfId="3" applyFont="1" applyBorder="1"/>
    <xf numFmtId="37" fontId="18" fillId="0" borderId="2" xfId="3" applyNumberFormat="1" applyFont="1" applyBorder="1" applyAlignment="1">
      <alignment horizontal="center" wrapText="1"/>
    </xf>
    <xf numFmtId="0" fontId="18" fillId="0" borderId="2" xfId="3" applyFont="1" applyBorder="1" applyAlignment="1">
      <alignment horizontal="center" wrapText="1"/>
    </xf>
    <xf numFmtId="37" fontId="18" fillId="0" borderId="0" xfId="3" applyNumberFormat="1" applyFont="1" applyBorder="1" applyAlignment="1">
      <alignment horizontal="center" wrapText="1"/>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2" fontId="9" fillId="0" borderId="2" xfId="0" applyNumberFormat="1" applyFont="1" applyBorder="1" applyAlignment="1">
      <alignment horizontal="center" vertical="center" wrapText="1"/>
    </xf>
    <xf numFmtId="2" fontId="9" fillId="0" borderId="7" xfId="0" applyNumberFormat="1" applyFont="1" applyBorder="1" applyAlignment="1">
      <alignment horizontal="center" vertical="center" wrapText="1"/>
    </xf>
    <xf numFmtId="2" fontId="4" fillId="0" borderId="0" xfId="1" quotePrefix="1" applyNumberFormat="1" applyFont="1" applyAlignment="1">
      <alignment horizontal="center"/>
    </xf>
    <xf numFmtId="11" fontId="4" fillId="0" borderId="0" xfId="1" quotePrefix="1" applyNumberFormat="1" applyFont="1" applyAlignment="1">
      <alignment horizontal="center"/>
    </xf>
    <xf numFmtId="166" fontId="9" fillId="0" borderId="0" xfId="0" applyNumberFormat="1" applyFont="1" applyAlignment="1">
      <alignment horizontal="center"/>
    </xf>
    <xf numFmtId="166" fontId="4" fillId="0" borderId="0" xfId="1" quotePrefix="1" applyNumberFormat="1" applyFont="1" applyAlignment="1">
      <alignment horizontal="center"/>
    </xf>
    <xf numFmtId="0" fontId="4" fillId="0" borderId="0" xfId="1" quotePrefix="1" applyFont="1" applyAlignment="1">
      <alignment horizontal="center"/>
    </xf>
    <xf numFmtId="166" fontId="9" fillId="0" borderId="0" xfId="2" applyNumberFormat="1" applyFont="1"/>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8" fillId="0" borderId="0" xfId="3" applyFont="1" applyBorder="1" applyAlignment="1">
      <alignment horizontal="center" wrapText="1"/>
    </xf>
    <xf numFmtId="0" fontId="14" fillId="0" borderId="0" xfId="3" applyFont="1" applyBorder="1"/>
    <xf numFmtId="0" fontId="0" fillId="0" borderId="0" xfId="0" applyBorder="1"/>
    <xf numFmtId="0" fontId="9" fillId="0" borderId="0" xfId="3" applyFont="1" applyBorder="1" applyAlignment="1">
      <alignment horizontal="center"/>
    </xf>
    <xf numFmtId="0" fontId="7" fillId="0" borderId="0" xfId="0" quotePrefix="1" applyFont="1" applyBorder="1" applyAlignment="1">
      <alignment horizontal="center" vertical="center" wrapText="1"/>
    </xf>
    <xf numFmtId="166" fontId="27" fillId="0" borderId="0" xfId="0" applyNumberFormat="1" applyFont="1" applyAlignment="1">
      <alignment horizontal="center"/>
    </xf>
    <xf numFmtId="166" fontId="27" fillId="0" borderId="0" xfId="1" quotePrefix="1" applyNumberFormat="1" applyFont="1" applyAlignment="1">
      <alignment horizontal="center"/>
    </xf>
    <xf numFmtId="166" fontId="27" fillId="0" borderId="0" xfId="2" applyNumberFormat="1" applyFont="1" applyAlignment="1">
      <alignment horizontal="center"/>
    </xf>
    <xf numFmtId="0" fontId="27" fillId="0" borderId="0" xfId="1" quotePrefix="1" applyFont="1" applyAlignment="1">
      <alignment horizontal="center"/>
    </xf>
    <xf numFmtId="37" fontId="27" fillId="0" borderId="0" xfId="3" applyNumberFormat="1" applyFont="1" applyBorder="1" applyAlignment="1">
      <alignment horizontal="center" wrapText="1"/>
    </xf>
    <xf numFmtId="2" fontId="27" fillId="0" borderId="0" xfId="0" applyNumberFormat="1" applyFont="1" applyAlignment="1">
      <alignment horizontal="center"/>
    </xf>
    <xf numFmtId="10" fontId="4" fillId="0" borderId="0" xfId="5" quotePrefix="1" applyNumberFormat="1" applyFont="1" applyAlignment="1">
      <alignment horizontal="center"/>
    </xf>
    <xf numFmtId="166" fontId="4" fillId="0" borderId="0" xfId="1" applyNumberFormat="1" applyFont="1" applyAlignment="1">
      <alignment horizontal="center"/>
    </xf>
    <xf numFmtId="2" fontId="0" fillId="0" borderId="0" xfId="0" applyNumberFormat="1" applyAlignment="1">
      <alignment horizontal="center"/>
    </xf>
    <xf numFmtId="11" fontId="9" fillId="0" borderId="0" xfId="2" applyNumberFormat="1" applyFont="1"/>
    <xf numFmtId="169" fontId="4" fillId="0" borderId="0" xfId="1" quotePrefix="1" applyNumberFormat="1" applyFont="1" applyAlignment="1">
      <alignment horizontal="center"/>
    </xf>
    <xf numFmtId="0" fontId="27" fillId="0" borderId="0" xfId="2" applyFont="1"/>
    <xf numFmtId="11" fontId="4" fillId="0" borderId="0" xfId="1" applyNumberFormat="1" applyFont="1" applyAlignment="1">
      <alignment horizontal="center"/>
    </xf>
    <xf numFmtId="168" fontId="4" fillId="0" borderId="0" xfId="1" applyNumberFormat="1" applyFont="1" applyAlignment="1">
      <alignment horizontal="center"/>
    </xf>
    <xf numFmtId="49" fontId="4" fillId="0" borderId="0" xfId="1" quotePrefix="1" applyNumberFormat="1" applyFont="1" applyAlignment="1">
      <alignment horizontal="center"/>
    </xf>
    <xf numFmtId="168" fontId="9" fillId="0" borderId="0" xfId="2" applyNumberFormat="1" applyFont="1" applyAlignment="1">
      <alignment horizontal="center"/>
    </xf>
    <xf numFmtId="167" fontId="4" fillId="0" borderId="0" xfId="1" quotePrefix="1" applyNumberFormat="1" applyFont="1" applyAlignment="1">
      <alignment horizontal="center"/>
    </xf>
    <xf numFmtId="39" fontId="4" fillId="0" borderId="0" xfId="1" quotePrefix="1" applyNumberFormat="1" applyFont="1" applyAlignment="1">
      <alignment horizontal="center"/>
    </xf>
    <xf numFmtId="2" fontId="9" fillId="0" borderId="0" xfId="2" applyNumberFormat="1" applyFont="1" applyAlignment="1">
      <alignment horizontal="center"/>
    </xf>
    <xf numFmtId="0" fontId="22" fillId="0" borderId="0" xfId="1" applyFont="1" applyAlignment="1">
      <alignment horizontal="left" wrapText="1"/>
    </xf>
    <xf numFmtId="0" fontId="5" fillId="0" borderId="0" xfId="2" applyFont="1" applyBorder="1" applyAlignment="1">
      <alignment horizontal="left"/>
    </xf>
    <xf numFmtId="37" fontId="4" fillId="0" borderId="5" xfId="3" applyNumberFormat="1" applyFont="1" applyBorder="1" applyAlignment="1">
      <alignment horizontal="center" wrapText="1"/>
    </xf>
    <xf numFmtId="0" fontId="9" fillId="0" borderId="0" xfId="2" applyFont="1" applyAlignment="1">
      <alignment horizontal="center"/>
    </xf>
    <xf numFmtId="0" fontId="14" fillId="0" borderId="0" xfId="4" applyFont="1" applyFill="1" applyAlignment="1">
      <alignment horizontal="left" wrapText="1"/>
    </xf>
    <xf numFmtId="0" fontId="18" fillId="0" borderId="0" xfId="2" applyFont="1" applyBorder="1" applyAlignment="1">
      <alignment horizontal="center" wrapText="1"/>
    </xf>
    <xf numFmtId="2" fontId="4" fillId="0" borderId="0" xfId="1" applyNumberFormat="1" applyFont="1" applyAlignment="1">
      <alignment horizontal="center"/>
    </xf>
    <xf numFmtId="39" fontId="4" fillId="0" borderId="0" xfId="1" quotePrefix="1" applyNumberFormat="1" applyFont="1" applyAlignment="1">
      <alignment horizontal="center"/>
    </xf>
    <xf numFmtId="11" fontId="4" fillId="0" borderId="0" xfId="1" applyNumberFormat="1" applyFont="1" applyAlignment="1">
      <alignment horizontal="center"/>
    </xf>
    <xf numFmtId="49" fontId="4" fillId="0" borderId="0" xfId="1" quotePrefix="1" applyNumberFormat="1" applyFont="1" applyAlignment="1">
      <alignment horizontal="center"/>
    </xf>
    <xf numFmtId="2" fontId="4" fillId="0" borderId="0" xfId="2" applyNumberFormat="1" applyFont="1" applyAlignment="1">
      <alignment horizontal="center"/>
    </xf>
    <xf numFmtId="168" fontId="4" fillId="0" borderId="0" xfId="1" applyNumberFormat="1" applyFont="1" applyAlignment="1">
      <alignment horizontal="center"/>
    </xf>
    <xf numFmtId="167" fontId="4" fillId="0" borderId="0" xfId="1" quotePrefix="1" applyNumberFormat="1" applyFont="1" applyAlignment="1">
      <alignment horizontal="center"/>
    </xf>
    <xf numFmtId="1" fontId="4" fillId="0" borderId="0" xfId="1" applyNumberFormat="1" applyFont="1" applyAlignment="1">
      <alignment horizontal="center"/>
    </xf>
    <xf numFmtId="2" fontId="4" fillId="0" borderId="0" xfId="1" applyNumberFormat="1" applyFont="1" applyAlignment="1">
      <alignment horizontal="center"/>
    </xf>
    <xf numFmtId="2" fontId="27" fillId="0" borderId="0" xfId="2" applyNumberFormat="1" applyFont="1" applyBorder="1" applyAlignment="1">
      <alignment horizontal="center"/>
    </xf>
    <xf numFmtId="0" fontId="18" fillId="0" borderId="0" xfId="4" applyFont="1" applyFill="1" applyAlignment="1">
      <alignment horizontal="left" wrapText="1"/>
    </xf>
    <xf numFmtId="166" fontId="9" fillId="0" borderId="0" xfId="2" applyNumberFormat="1" applyFont="1" applyAlignment="1">
      <alignment horizontal="center"/>
    </xf>
    <xf numFmtId="166" fontId="4" fillId="0" borderId="0" xfId="2" applyNumberFormat="1" applyFont="1" applyAlignment="1">
      <alignment horizontal="center"/>
    </xf>
    <xf numFmtId="0" fontId="30" fillId="0" borderId="0" xfId="2" applyFont="1" applyBorder="1" applyAlignment="1">
      <alignment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2" fontId="7" fillId="0" borderId="0" xfId="0" applyNumberFormat="1" applyFont="1"/>
    <xf numFmtId="2" fontId="8" fillId="0" borderId="0" xfId="0" applyNumberFormat="1" applyFont="1"/>
    <xf numFmtId="1" fontId="7" fillId="0" borderId="0" xfId="0" applyNumberFormat="1" applyFont="1"/>
    <xf numFmtId="1" fontId="8" fillId="0" borderId="0" xfId="0" applyNumberFormat="1" applyFont="1"/>
    <xf numFmtId="0" fontId="8" fillId="0" borderId="0" xfId="0" applyFont="1" applyBorder="1" applyAlignment="1">
      <alignment horizontal="center" vertical="center" wrapText="1"/>
    </xf>
    <xf numFmtId="2" fontId="9" fillId="0" borderId="2" xfId="0" quotePrefix="1" applyNumberFormat="1" applyFont="1" applyBorder="1" applyAlignment="1">
      <alignment horizontal="center" vertical="center" wrapText="1"/>
    </xf>
    <xf numFmtId="2" fontId="9" fillId="0" borderId="7" xfId="0" quotePrefix="1" applyNumberFormat="1" applyFont="1" applyBorder="1" applyAlignment="1">
      <alignment horizontal="center" vertical="center" wrapText="1"/>
    </xf>
    <xf numFmtId="0" fontId="9" fillId="0" borderId="2" xfId="0" quotePrefix="1" applyFont="1" applyBorder="1" applyAlignment="1">
      <alignment horizontal="center" vertical="center" wrapText="1"/>
    </xf>
    <xf numFmtId="0" fontId="9" fillId="0" borderId="0" xfId="0" quotePrefix="1" applyFont="1" applyBorder="1" applyAlignment="1">
      <alignment horizontal="center" vertical="center" wrapText="1"/>
    </xf>
    <xf numFmtId="2" fontId="9" fillId="0" borderId="0" xfId="0" applyNumberFormat="1" applyFont="1" applyBorder="1" applyAlignment="1">
      <alignment horizontal="center" vertical="center" wrapText="1"/>
    </xf>
    <xf numFmtId="0" fontId="10" fillId="0" borderId="2" xfId="0" applyFont="1" applyBorder="1" applyAlignment="1">
      <alignment horizontal="center" vertical="center" wrapText="1"/>
    </xf>
    <xf numFmtId="2" fontId="4" fillId="0" borderId="2" xfId="0" quotePrefix="1" applyNumberFormat="1" applyFont="1" applyBorder="1" applyAlignment="1">
      <alignment horizontal="center" vertical="center" wrapText="1"/>
    </xf>
    <xf numFmtId="2" fontId="4" fillId="0" borderId="7" xfId="0" applyNumberFormat="1" applyFont="1" applyBorder="1" applyAlignment="1">
      <alignment horizontal="center" vertical="center" wrapText="1"/>
    </xf>
    <xf numFmtId="2" fontId="4" fillId="0" borderId="7" xfId="0" quotePrefix="1" applyNumberFormat="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33" fillId="0" borderId="0" xfId="0" applyFont="1"/>
    <xf numFmtId="2" fontId="9" fillId="0" borderId="0" xfId="0" quotePrefix="1"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5" xfId="0" quotePrefix="1" applyFont="1" applyBorder="1" applyAlignment="1">
      <alignment horizontal="center" vertical="center" wrapText="1"/>
    </xf>
    <xf numFmtId="0" fontId="9" fillId="0" borderId="7" xfId="0" applyFont="1" applyBorder="1" applyAlignment="1">
      <alignment horizontal="center" vertical="center" wrapText="1"/>
    </xf>
    <xf numFmtId="0" fontId="9" fillId="0" borderId="5" xfId="0" applyFont="1" applyBorder="1" applyAlignment="1">
      <alignment horizontal="center" vertical="center" wrapText="1"/>
    </xf>
    <xf numFmtId="0" fontId="9" fillId="0" borderId="5" xfId="0" applyFont="1" applyBorder="1" applyAlignment="1">
      <alignment vertical="center" wrapText="1"/>
    </xf>
    <xf numFmtId="2" fontId="9" fillId="0" borderId="5" xfId="0" applyNumberFormat="1" applyFont="1" applyBorder="1" applyAlignment="1">
      <alignment horizontal="center" vertical="center" wrapText="1"/>
    </xf>
    <xf numFmtId="2" fontId="9" fillId="0" borderId="5" xfId="0" quotePrefix="1" applyNumberFormat="1" applyFont="1" applyBorder="1" applyAlignment="1">
      <alignment horizontal="center" vertical="center" wrapText="1"/>
    </xf>
    <xf numFmtId="2" fontId="10" fillId="0" borderId="5" xfId="0" applyNumberFormat="1" applyFont="1" applyBorder="1" applyAlignment="1">
      <alignment horizontal="center" vertical="center" wrapText="1"/>
    </xf>
    <xf numFmtId="0" fontId="10" fillId="0" borderId="5" xfId="0" applyFont="1" applyBorder="1" applyAlignment="1">
      <alignment horizontal="center" vertical="center" wrapText="1"/>
    </xf>
    <xf numFmtId="0" fontId="4"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0" fontId="8" fillId="0" borderId="5" xfId="0" applyFont="1" applyBorder="1" applyAlignment="1">
      <alignment horizontal="center" vertical="center" wrapText="1"/>
    </xf>
    <xf numFmtId="0" fontId="9" fillId="0" borderId="2" xfId="0" applyFont="1" applyBorder="1" applyAlignment="1">
      <alignment horizontal="center" vertical="center" wrapText="1"/>
    </xf>
    <xf numFmtId="0" fontId="6" fillId="0" borderId="5" xfId="0" applyFont="1" applyBorder="1" applyAlignment="1">
      <alignment vertical="center"/>
    </xf>
    <xf numFmtId="166" fontId="9" fillId="0" borderId="2" xfId="0" quotePrefix="1" applyNumberFormat="1" applyFont="1" applyBorder="1" applyAlignment="1">
      <alignment horizontal="center" vertical="center" wrapText="1"/>
    </xf>
    <xf numFmtId="166" fontId="9" fillId="0" borderId="5" xfId="0" applyNumberFormat="1" applyFont="1" applyBorder="1" applyAlignment="1">
      <alignment horizontal="center" vertical="center" wrapText="1"/>
    </xf>
    <xf numFmtId="166" fontId="9" fillId="0" borderId="0" xfId="0" applyNumberFormat="1" applyFont="1" applyBorder="1" applyAlignment="1">
      <alignment horizontal="center" vertical="center" wrapText="1"/>
    </xf>
    <xf numFmtId="166" fontId="9" fillId="0" borderId="5" xfId="0" quotePrefix="1"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center" vertical="center" wrapText="1"/>
    </xf>
    <xf numFmtId="166" fontId="4" fillId="0" borderId="5" xfId="0" quotePrefix="1"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166" fontId="14" fillId="0" borderId="5" xfId="0" applyNumberFormat="1" applyFont="1" applyBorder="1" applyAlignment="1">
      <alignment horizontal="center" vertical="center" wrapText="1"/>
    </xf>
    <xf numFmtId="1" fontId="14" fillId="0" borderId="5" xfId="0" applyNumberFormat="1" applyFont="1" applyBorder="1" applyAlignment="1">
      <alignment horizontal="center" vertical="center" wrapText="1"/>
    </xf>
    <xf numFmtId="1" fontId="11" fillId="0" borderId="5" xfId="0" applyNumberFormat="1" applyFont="1" applyBorder="1" applyAlignment="1">
      <alignment horizontal="center" vertical="center" wrapText="1"/>
    </xf>
    <xf numFmtId="0" fontId="9" fillId="0" borderId="0" xfId="336" applyFont="1" applyBorder="1" applyAlignment="1">
      <alignment vertical="top" wrapText="1"/>
    </xf>
    <xf numFmtId="0" fontId="9" fillId="0" borderId="0" xfId="336" applyFont="1" applyBorder="1" applyAlignment="1">
      <alignment horizontal="left" vertical="center" wrapText="1"/>
    </xf>
    <xf numFmtId="0" fontId="14" fillId="0" borderId="0" xfId="336" applyFont="1" applyBorder="1" applyAlignment="1">
      <alignment horizontal="center" vertical="center" wrapText="1"/>
    </xf>
    <xf numFmtId="0" fontId="9" fillId="0" borderId="2" xfId="336" applyFont="1" applyBorder="1" applyAlignment="1">
      <alignment horizontal="left" vertical="center" wrapText="1"/>
    </xf>
    <xf numFmtId="0" fontId="9" fillId="0" borderId="0" xfId="0" applyFont="1" applyBorder="1" applyAlignment="1">
      <alignment horizontal="center" vertical="center" wrapText="1"/>
    </xf>
    <xf numFmtId="0" fontId="6" fillId="0" borderId="0" xfId="0" applyFont="1" applyBorder="1" applyAlignment="1">
      <alignment horizontal="center" vertical="center"/>
    </xf>
    <xf numFmtId="0" fontId="15" fillId="0" borderId="0" xfId="0" applyFont="1" applyBorder="1" applyAlignment="1">
      <alignment horizontal="justify" wrapText="1"/>
    </xf>
    <xf numFmtId="0" fontId="8" fillId="0" borderId="5" xfId="0" applyFont="1" applyFill="1" applyBorder="1" applyAlignment="1">
      <alignment horizontal="center" vertical="center" wrapText="1"/>
    </xf>
    <xf numFmtId="0" fontId="24" fillId="0" borderId="0" xfId="0" applyFont="1" applyBorder="1"/>
    <xf numFmtId="0" fontId="24" fillId="0" borderId="0" xfId="0" applyFont="1" applyBorder="1" applyAlignment="1">
      <alignment horizontal="center"/>
    </xf>
    <xf numFmtId="0" fontId="35" fillId="0" borderId="0" xfId="0" applyFont="1" applyBorder="1"/>
    <xf numFmtId="2" fontId="36" fillId="0" borderId="0" xfId="0" applyNumberFormat="1" applyFont="1" applyBorder="1" applyAlignment="1">
      <alignment vertical="center"/>
    </xf>
    <xf numFmtId="2" fontId="0" fillId="0" borderId="0" xfId="0" applyNumberFormat="1" applyBorder="1"/>
    <xf numFmtId="0" fontId="25" fillId="0" borderId="0" xfId="0" applyFont="1" applyBorder="1"/>
    <xf numFmtId="165" fontId="0" fillId="0" borderId="0" xfId="0" applyNumberFormat="1"/>
    <xf numFmtId="1" fontId="0" fillId="0" borderId="0" xfId="0" applyNumberFormat="1"/>
    <xf numFmtId="2" fontId="25" fillId="0" borderId="0" xfId="0" applyNumberFormat="1" applyFont="1" applyBorder="1"/>
    <xf numFmtId="0" fontId="0" fillId="0" borderId="0" xfId="0" applyFill="1" applyBorder="1"/>
    <xf numFmtId="0" fontId="24" fillId="0" borderId="0" xfId="0" applyFont="1" applyFill="1" applyBorder="1" applyAlignment="1">
      <alignment horizontal="center"/>
    </xf>
    <xf numFmtId="0" fontId="7" fillId="0" borderId="0" xfId="0" applyFont="1" applyFill="1" applyAlignment="1">
      <alignment horizontal="center" vertical="center"/>
    </xf>
    <xf numFmtId="2" fontId="7" fillId="0" borderId="0" xfId="0" applyNumberFormat="1" applyFont="1" applyFill="1" applyAlignment="1">
      <alignment horizontal="center" vertical="center"/>
    </xf>
    <xf numFmtId="0" fontId="11" fillId="0" borderId="0" xfId="0" applyFont="1" applyFill="1" applyAlignment="1">
      <alignment horizontal="center" vertical="center" wrapText="1"/>
    </xf>
    <xf numFmtId="166" fontId="38" fillId="0" borderId="0" xfId="0" applyNumberFormat="1" applyFont="1" applyFill="1" applyAlignment="1">
      <alignment horizontal="center" vertical="center" wrapText="1"/>
    </xf>
    <xf numFmtId="166" fontId="11" fillId="0" borderId="0" xfId="0" applyNumberFormat="1" applyFont="1" applyFill="1" applyAlignment="1">
      <alignment horizontal="center" vertical="center" wrapText="1"/>
    </xf>
    <xf numFmtId="0" fontId="4" fillId="0" borderId="0" xfId="0" applyFont="1" applyFill="1" applyAlignment="1">
      <alignment horizontal="center" vertical="center"/>
    </xf>
    <xf numFmtId="166" fontId="4" fillId="0" borderId="0" xfId="0" applyNumberFormat="1" applyFont="1" applyFill="1" applyAlignment="1">
      <alignment horizontal="center" vertical="center"/>
    </xf>
    <xf numFmtId="166" fontId="39" fillId="0" borderId="0" xfId="0" applyNumberFormat="1" applyFont="1" applyFill="1" applyAlignment="1">
      <alignment horizontal="center" vertical="center"/>
    </xf>
    <xf numFmtId="0" fontId="8" fillId="0" borderId="0" xfId="0" applyFont="1" applyFill="1" applyAlignment="1">
      <alignment horizontal="center" vertical="center"/>
    </xf>
    <xf numFmtId="2" fontId="8" fillId="0" borderId="0" xfId="0" applyNumberFormat="1" applyFont="1" applyFill="1" applyAlignment="1">
      <alignment horizontal="center" vertical="center"/>
    </xf>
    <xf numFmtId="0" fontId="27" fillId="0" borderId="0" xfId="0" applyFont="1" applyFill="1" applyAlignment="1">
      <alignment horizontal="center" vertical="center"/>
    </xf>
    <xf numFmtId="2" fontId="11" fillId="0" borderId="0" xfId="0" applyNumberFormat="1" applyFont="1" applyFill="1" applyAlignment="1">
      <alignment horizontal="center" vertical="center" wrapText="1"/>
    </xf>
    <xf numFmtId="2" fontId="4"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8" fillId="0" borderId="0" xfId="0" applyNumberFormat="1" applyFont="1" applyFill="1" applyAlignment="1">
      <alignment horizontal="center" vertical="center"/>
    </xf>
    <xf numFmtId="0" fontId="40" fillId="0" borderId="0" xfId="340"/>
    <xf numFmtId="0" fontId="41" fillId="0" borderId="0" xfId="340" applyFont="1" applyAlignment="1">
      <alignment horizontal="center"/>
    </xf>
    <xf numFmtId="0" fontId="41" fillId="0" borderId="0" xfId="340" applyFont="1"/>
    <xf numFmtId="2" fontId="40" fillId="0" borderId="0" xfId="340" applyNumberFormat="1" applyFont="1"/>
    <xf numFmtId="0" fontId="40" fillId="0" borderId="0" xfId="340" applyFont="1"/>
    <xf numFmtId="0" fontId="5" fillId="2" borderId="1" xfId="1" applyFont="1" applyFill="1" applyBorder="1" applyAlignment="1">
      <alignment wrapText="1"/>
    </xf>
    <xf numFmtId="0" fontId="5" fillId="2" borderId="0" xfId="1" applyFont="1" applyFill="1" applyBorder="1" applyAlignment="1">
      <alignment horizontal="center" wrapText="1"/>
    </xf>
    <xf numFmtId="0" fontId="7" fillId="2" borderId="0" xfId="0" applyFont="1" applyFill="1"/>
    <xf numFmtId="49" fontId="8" fillId="2" borderId="2" xfId="0" applyNumberFormat="1" applyFont="1" applyFill="1" applyBorder="1" applyAlignment="1">
      <alignment horizontal="center" wrapText="1"/>
    </xf>
    <xf numFmtId="0" fontId="8" fillId="2" borderId="5" xfId="0" applyFont="1" applyFill="1" applyBorder="1"/>
    <xf numFmtId="0" fontId="7" fillId="2" borderId="5" xfId="0" quotePrefix="1" applyFont="1" applyFill="1" applyBorder="1" applyAlignment="1">
      <alignment horizontal="center"/>
    </xf>
    <xf numFmtId="0" fontId="8" fillId="2" borderId="0" xfId="0" applyFont="1" applyFill="1"/>
    <xf numFmtId="0" fontId="7" fillId="2" borderId="0" xfId="0" applyFont="1" applyFill="1" applyAlignment="1">
      <alignment horizontal="center"/>
    </xf>
    <xf numFmtId="3" fontId="14" fillId="2" borderId="0" xfId="0" applyNumberFormat="1" applyFont="1" applyFill="1"/>
    <xf numFmtId="3" fontId="9" fillId="2" borderId="0" xfId="0" applyNumberFormat="1" applyFont="1" applyFill="1"/>
    <xf numFmtId="2" fontId="9" fillId="2" borderId="0" xfId="0" applyNumberFormat="1" applyFont="1" applyFill="1" applyAlignment="1">
      <alignment horizontal="center"/>
    </xf>
    <xf numFmtId="0" fontId="9" fillId="2" borderId="0" xfId="0" applyFont="1" applyFill="1"/>
    <xf numFmtId="164" fontId="9" fillId="2" borderId="0" xfId="0" applyNumberFormat="1" applyFont="1" applyFill="1"/>
    <xf numFmtId="165" fontId="9" fillId="2" borderId="0" xfId="0" applyNumberFormat="1" applyFont="1" applyFill="1"/>
    <xf numFmtId="164" fontId="14" fillId="2" borderId="0" xfId="0" applyNumberFormat="1" applyFont="1" applyFill="1"/>
    <xf numFmtId="1" fontId="9" fillId="2" borderId="0" xfId="0" applyNumberFormat="1" applyFont="1" applyFill="1" applyAlignment="1">
      <alignment horizontal="center"/>
    </xf>
    <xf numFmtId="0" fontId="14" fillId="2" borderId="0" xfId="0" applyFont="1" applyFill="1"/>
    <xf numFmtId="164" fontId="14" fillId="2" borderId="2" xfId="0" applyNumberFormat="1" applyFont="1" applyFill="1" applyBorder="1"/>
    <xf numFmtId="3" fontId="9" fillId="2" borderId="2" xfId="0" applyNumberFormat="1" applyFont="1" applyFill="1" applyBorder="1"/>
    <xf numFmtId="1" fontId="9" fillId="2" borderId="2" xfId="0" applyNumberFormat="1" applyFont="1" applyFill="1" applyBorder="1" applyAlignment="1">
      <alignment horizontal="center"/>
    </xf>
    <xf numFmtId="0" fontId="9" fillId="2" borderId="0" xfId="0" applyFont="1" applyFill="1" applyAlignment="1">
      <alignment horizontal="center"/>
    </xf>
    <xf numFmtId="0" fontId="9" fillId="0" borderId="2" xfId="0" applyFont="1" applyBorder="1" applyAlignment="1">
      <alignment horizontal="center" vertical="center" wrapText="1"/>
    </xf>
    <xf numFmtId="0" fontId="7" fillId="0" borderId="0" xfId="0" applyFont="1" applyAlignment="1">
      <alignment horizontal="center" vertical="center"/>
    </xf>
    <xf numFmtId="0" fontId="8" fillId="0" borderId="0" xfId="0" applyFont="1" applyAlignment="1">
      <alignment vertical="center"/>
    </xf>
    <xf numFmtId="0" fontId="7" fillId="0" borderId="0" xfId="0" applyFont="1" applyAlignment="1">
      <alignment vertical="center"/>
    </xf>
    <xf numFmtId="0" fontId="42" fillId="0" borderId="0" xfId="0" applyFont="1" applyFill="1" applyAlignment="1">
      <alignment horizontal="center" vertical="center"/>
    </xf>
    <xf numFmtId="0" fontId="0" fillId="0" borderId="0" xfId="0" applyFont="1" applyFill="1" applyAlignment="1">
      <alignment horizontal="center" vertical="center"/>
    </xf>
    <xf numFmtId="11" fontId="4" fillId="0" borderId="0" xfId="1" applyNumberFormat="1" applyFont="1" applyAlignment="1">
      <alignment horizontal="center"/>
    </xf>
    <xf numFmtId="39" fontId="4" fillId="0" borderId="0" xfId="1" quotePrefix="1" applyNumberFormat="1" applyFont="1" applyAlignment="1">
      <alignment horizontal="center"/>
    </xf>
    <xf numFmtId="37" fontId="4" fillId="0" borderId="0" xfId="1" quotePrefix="1" applyNumberFormat="1" applyFont="1" applyAlignment="1">
      <alignment horizontal="center"/>
    </xf>
    <xf numFmtId="0" fontId="0" fillId="0" borderId="0" xfId="0" applyAlignment="1">
      <alignment horizontal="center"/>
    </xf>
    <xf numFmtId="166" fontId="0" fillId="0" borderId="0" xfId="0" applyNumberFormat="1" applyAlignment="1">
      <alignment horizontal="center"/>
    </xf>
    <xf numFmtId="11" fontId="0" fillId="0" borderId="0" xfId="0" applyNumberFormat="1" applyAlignment="1">
      <alignment horizontal="center"/>
    </xf>
    <xf numFmtId="171" fontId="0" fillId="0" borderId="0" xfId="0" applyNumberFormat="1" applyAlignment="1">
      <alignment horizontal="center"/>
    </xf>
    <xf numFmtId="166" fontId="9" fillId="0" borderId="0" xfId="2" applyNumberFormat="1" applyFont="1" applyAlignment="1">
      <alignment horizontal="center"/>
    </xf>
    <xf numFmtId="0" fontId="9" fillId="0" borderId="0" xfId="2" applyFont="1" applyAlignment="1">
      <alignment horizontal="center"/>
    </xf>
    <xf numFmtId="0" fontId="4" fillId="0" borderId="0" xfId="1" quotePrefix="1" applyFont="1" applyAlignment="1">
      <alignment horizontal="center"/>
    </xf>
    <xf numFmtId="166" fontId="4" fillId="0" borderId="0" xfId="1" quotePrefix="1" applyNumberFormat="1" applyFont="1" applyAlignment="1">
      <alignment horizontal="center"/>
    </xf>
    <xf numFmtId="10" fontId="0" fillId="0" borderId="0" xfId="0" applyNumberFormat="1" applyAlignment="1">
      <alignment horizontal="center"/>
    </xf>
    <xf numFmtId="9" fontId="0" fillId="0" borderId="0" xfId="0" applyNumberFormat="1" applyAlignment="1">
      <alignment horizontal="center"/>
    </xf>
    <xf numFmtId="172" fontId="0" fillId="0" borderId="0" xfId="0" applyNumberFormat="1" applyAlignment="1">
      <alignment horizontal="center"/>
    </xf>
    <xf numFmtId="39" fontId="4" fillId="0" borderId="0" xfId="1" quotePrefix="1" applyNumberFormat="1" applyFont="1" applyAlignment="1">
      <alignment horizontal="center"/>
    </xf>
    <xf numFmtId="10" fontId="4" fillId="0" borderId="0" xfId="1" quotePrefix="1" applyNumberFormat="1" applyFont="1" applyAlignment="1">
      <alignment horizontal="center"/>
    </xf>
    <xf numFmtId="0" fontId="7" fillId="0" borderId="0" xfId="0" applyFont="1" applyAlignment="1">
      <alignment horizontal="center" vertical="center" wrapText="1"/>
    </xf>
    <xf numFmtId="0" fontId="7" fillId="0" borderId="0" xfId="0" applyFont="1" applyAlignment="1">
      <alignment vertical="center" wrapText="1"/>
    </xf>
    <xf numFmtId="166" fontId="7" fillId="0" borderId="0" xfId="0" applyNumberFormat="1" applyFont="1" applyAlignment="1">
      <alignment horizontal="center" vertical="center"/>
    </xf>
    <xf numFmtId="0" fontId="8" fillId="0" borderId="0" xfId="0" applyFont="1" applyFill="1" applyAlignment="1">
      <alignment horizontal="center" vertical="center" wrapText="1"/>
    </xf>
    <xf numFmtId="0" fontId="8" fillId="0" borderId="0" xfId="0" applyFont="1" applyAlignment="1">
      <alignment vertical="center" wrapText="1"/>
    </xf>
    <xf numFmtId="166" fontId="8" fillId="0" borderId="0" xfId="0" applyNumberFormat="1" applyFont="1" applyAlignment="1">
      <alignment horizontal="center" vertical="center"/>
    </xf>
    <xf numFmtId="0" fontId="8" fillId="0" borderId="0" xfId="0" applyFont="1" applyAlignment="1">
      <alignment horizontal="center" vertical="center"/>
    </xf>
    <xf numFmtId="0" fontId="43" fillId="0" borderId="0" xfId="0" applyFont="1"/>
    <xf numFmtId="0" fontId="12" fillId="0" borderId="0" xfId="0" applyFont="1" applyBorder="1" applyAlignment="1">
      <alignment horizontal="center" vertical="center" wrapText="1"/>
    </xf>
    <xf numFmtId="0" fontId="12" fillId="0" borderId="2" xfId="0" applyFont="1" applyBorder="1" applyAlignment="1">
      <alignment horizontal="center" vertical="center" wrapText="1"/>
    </xf>
    <xf numFmtId="2" fontId="12" fillId="0" borderId="2" xfId="0" quotePrefix="1" applyNumberFormat="1" applyFont="1" applyBorder="1" applyAlignment="1">
      <alignment horizontal="center" vertical="center" wrapText="1"/>
    </xf>
    <xf numFmtId="2" fontId="30" fillId="0" borderId="0" xfId="0" applyNumberFormat="1" applyFont="1" applyFill="1" applyAlignment="1">
      <alignment horizontal="center" vertical="center"/>
    </xf>
    <xf numFmtId="0" fontId="30" fillId="0" borderId="0" xfId="0" applyFont="1" applyFill="1" applyAlignment="1">
      <alignment horizontal="center" vertical="center"/>
    </xf>
    <xf numFmtId="166" fontId="30" fillId="0" borderId="0" xfId="0" applyNumberFormat="1" applyFont="1" applyFill="1" applyAlignment="1">
      <alignment horizontal="center" vertical="center"/>
    </xf>
    <xf numFmtId="166" fontId="44" fillId="0" borderId="0" xfId="0" applyNumberFormat="1" applyFont="1" applyFill="1" applyAlignment="1">
      <alignment horizontal="center" vertical="center"/>
    </xf>
    <xf numFmtId="0" fontId="43" fillId="0" borderId="0" xfId="0" applyFont="1" applyAlignment="1">
      <alignment horizontal="center" vertical="center" wrapText="1"/>
    </xf>
    <xf numFmtId="0" fontId="43" fillId="0" borderId="0" xfId="0" applyFont="1" applyAlignment="1">
      <alignment vertical="center"/>
    </xf>
    <xf numFmtId="0" fontId="43" fillId="0" borderId="0" xfId="0" applyFont="1" applyAlignment="1">
      <alignment vertical="center" wrapText="1"/>
    </xf>
    <xf numFmtId="166" fontId="43" fillId="0" borderId="0" xfId="0" applyNumberFormat="1" applyFont="1" applyAlignment="1">
      <alignment horizontal="center" vertical="center"/>
    </xf>
    <xf numFmtId="0" fontId="43" fillId="0" borderId="0" xfId="0" applyFont="1" applyAlignment="1">
      <alignment horizontal="center" vertical="center"/>
    </xf>
    <xf numFmtId="2" fontId="12" fillId="0" borderId="0" xfId="0" applyNumberFormat="1" applyFont="1" applyBorder="1" applyAlignment="1">
      <alignment horizontal="center" vertical="center" wrapText="1"/>
    </xf>
    <xf numFmtId="2" fontId="12" fillId="0" borderId="0" xfId="0" quotePrefix="1" applyNumberFormat="1" applyFont="1" applyBorder="1" applyAlignment="1">
      <alignment horizontal="center" vertical="center" wrapText="1"/>
    </xf>
    <xf numFmtId="0" fontId="12" fillId="0" borderId="5" xfId="0" applyFont="1" applyBorder="1" applyAlignment="1">
      <alignment horizontal="center" vertical="center" wrapText="1"/>
    </xf>
    <xf numFmtId="2" fontId="12" fillId="0" borderId="5" xfId="0" applyNumberFormat="1" applyFont="1" applyBorder="1" applyAlignment="1">
      <alignment horizontal="center" vertical="center" wrapText="1"/>
    </xf>
    <xf numFmtId="2" fontId="12" fillId="0" borderId="5" xfId="0" quotePrefix="1" applyNumberFormat="1" applyFont="1" applyBorder="1" applyAlignment="1">
      <alignment horizontal="center" vertical="center" wrapText="1"/>
    </xf>
    <xf numFmtId="0" fontId="8" fillId="0" borderId="0" xfId="0" applyFont="1" applyAlignment="1">
      <alignment horizontal="center" vertical="center" wrapText="1"/>
    </xf>
    <xf numFmtId="0" fontId="42" fillId="0" borderId="0" xfId="0" applyFont="1" applyAlignment="1">
      <alignment vertical="center" wrapText="1"/>
    </xf>
    <xf numFmtId="0" fontId="45" fillId="0" borderId="0" xfId="0" applyFont="1" applyAlignment="1">
      <alignment vertical="center" wrapText="1"/>
    </xf>
    <xf numFmtId="0" fontId="30" fillId="0" borderId="0" xfId="0" applyFont="1" applyBorder="1" applyAlignment="1">
      <alignment horizontal="center" vertical="center" wrapText="1"/>
    </xf>
    <xf numFmtId="0" fontId="13"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7" fillId="0" borderId="2" xfId="0" quotePrefix="1" applyFont="1" applyBorder="1" applyAlignment="1">
      <alignment horizontal="center" vertical="center" wrapText="1"/>
    </xf>
    <xf numFmtId="166" fontId="7" fillId="0" borderId="0" xfId="0" applyNumberFormat="1" applyFont="1" applyAlignment="1">
      <alignment horizontal="center" vertical="center" wrapText="1"/>
    </xf>
    <xf numFmtId="0" fontId="7" fillId="0" borderId="0" xfId="0" applyFont="1" applyAlignment="1">
      <alignment horizontal="left" vertical="center"/>
    </xf>
    <xf numFmtId="166" fontId="8" fillId="0" borderId="0" xfId="0" applyNumberFormat="1" applyFont="1" applyAlignment="1">
      <alignment horizontal="center" vertical="center" wrapText="1"/>
    </xf>
    <xf numFmtId="0" fontId="8" fillId="0" borderId="0" xfId="0" applyFont="1" applyAlignment="1">
      <alignment horizontal="left" vertical="center"/>
    </xf>
    <xf numFmtId="166" fontId="7" fillId="0" borderId="0" xfId="0" applyNumberFormat="1" applyFont="1" applyFill="1" applyAlignment="1">
      <alignment horizontal="center" vertical="center" wrapText="1"/>
    </xf>
    <xf numFmtId="0" fontId="33" fillId="0" borderId="0" xfId="0" applyFont="1" applyBorder="1" applyAlignment="1">
      <alignment horizontal="center" vertical="center"/>
    </xf>
    <xf numFmtId="0" fontId="7" fillId="0" borderId="0" xfId="0" applyFont="1" applyAlignment="1">
      <alignment horizontal="left" vertical="center" wrapText="1"/>
    </xf>
    <xf numFmtId="166" fontId="43" fillId="0" borderId="0" xfId="0" applyNumberFormat="1" applyFont="1" applyFill="1" applyAlignment="1">
      <alignment horizontal="center" vertical="center"/>
    </xf>
    <xf numFmtId="166" fontId="43" fillId="0" borderId="0" xfId="0" applyNumberFormat="1" applyFont="1" applyAlignment="1">
      <alignment horizontal="center" vertical="center" wrapText="1"/>
    </xf>
    <xf numFmtId="0" fontId="43" fillId="0" borderId="0" xfId="0" applyFont="1" applyAlignment="1">
      <alignment horizontal="left" vertical="center"/>
    </xf>
    <xf numFmtId="0" fontId="42" fillId="0" borderId="0" xfId="0" applyFont="1" applyAlignment="1">
      <alignment horizontal="center" vertical="center"/>
    </xf>
    <xf numFmtId="1" fontId="4" fillId="0" borderId="0" xfId="1" applyNumberFormat="1" applyFont="1" applyAlignment="1">
      <alignment horizontal="center"/>
    </xf>
    <xf numFmtId="0" fontId="18" fillId="0" borderId="0" xfId="2" applyFont="1" applyBorder="1" applyAlignment="1">
      <alignment horizontal="center" wrapText="1"/>
    </xf>
    <xf numFmtId="0" fontId="26" fillId="0" borderId="0" xfId="0" applyFont="1" applyAlignment="1">
      <alignment horizontal="center"/>
    </xf>
    <xf numFmtId="0" fontId="14" fillId="0" borderId="5" xfId="336" applyFont="1" applyBorder="1" applyAlignment="1">
      <alignment horizontal="center" vertical="center" wrapText="1"/>
    </xf>
    <xf numFmtId="0" fontId="6" fillId="0" borderId="2" xfId="0" applyFont="1" applyBorder="1" applyAlignment="1">
      <alignment horizontal="center" vertical="center"/>
    </xf>
    <xf numFmtId="0" fontId="15" fillId="0" borderId="4" xfId="0" applyFont="1" applyBorder="1" applyAlignment="1">
      <alignment horizontal="justify" vertical="top" wrapText="1"/>
    </xf>
    <xf numFmtId="0" fontId="9" fillId="0" borderId="1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xf>
    <xf numFmtId="0" fontId="3" fillId="2" borderId="0" xfId="0" applyFont="1" applyFill="1" applyBorder="1" applyAlignment="1">
      <alignment horizontal="center" wrapText="1"/>
    </xf>
    <xf numFmtId="0" fontId="15" fillId="2" borderId="0" xfId="0" applyFont="1" applyFill="1" applyBorder="1" applyAlignment="1">
      <alignment horizontal="justify" vertical="top" wrapText="1"/>
    </xf>
    <xf numFmtId="0" fontId="15" fillId="0" borderId="3" xfId="0" applyFont="1" applyBorder="1" applyAlignment="1">
      <alignment horizontal="justify" wrapText="1"/>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8" fillId="0" borderId="5" xfId="0" applyFont="1" applyBorder="1" applyAlignment="1">
      <alignment horizontal="center" vertical="center" wrapText="1"/>
    </xf>
    <xf numFmtId="0" fontId="5" fillId="0" borderId="0" xfId="2" applyFont="1" applyBorder="1" applyAlignment="1">
      <alignment horizontal="left"/>
    </xf>
    <xf numFmtId="0" fontId="18" fillId="0" borderId="2" xfId="2" applyFont="1" applyBorder="1" applyAlignment="1">
      <alignment horizontal="center" wrapText="1"/>
    </xf>
    <xf numFmtId="0" fontId="18" fillId="0" borderId="5" xfId="2" applyFont="1" applyBorder="1" applyAlignment="1">
      <alignment horizontal="center" wrapText="1"/>
    </xf>
    <xf numFmtId="0" fontId="21" fillId="0" borderId="3" xfId="2" applyFont="1" applyBorder="1" applyAlignment="1">
      <alignment horizontal="justify" vertical="top" wrapText="1" shrinkToFit="1"/>
    </xf>
    <xf numFmtId="0" fontId="22" fillId="0" borderId="0" xfId="1" applyFont="1" applyAlignment="1">
      <alignment horizontal="left" wrapText="1"/>
    </xf>
    <xf numFmtId="0" fontId="3" fillId="0" borderId="0" xfId="2" applyFont="1" applyBorder="1" applyAlignment="1">
      <alignment horizontal="center" wrapText="1"/>
    </xf>
    <xf numFmtId="37" fontId="4" fillId="0" borderId="5" xfId="3" applyNumberFormat="1" applyFont="1" applyBorder="1" applyAlignment="1">
      <alignment horizontal="center" wrapText="1"/>
    </xf>
    <xf numFmtId="166" fontId="9" fillId="0" borderId="0" xfId="2" applyNumberFormat="1" applyFont="1" applyAlignment="1">
      <alignment horizontal="center"/>
    </xf>
    <xf numFmtId="49" fontId="4" fillId="0" borderId="0" xfId="1" quotePrefix="1" applyNumberFormat="1" applyFont="1" applyAlignment="1">
      <alignment horizontal="center"/>
    </xf>
    <xf numFmtId="11" fontId="4" fillId="0" borderId="0" xfId="1" applyNumberFormat="1" applyFont="1" applyAlignment="1">
      <alignment horizontal="center"/>
    </xf>
    <xf numFmtId="0" fontId="4" fillId="0" borderId="0" xfId="1" quotePrefix="1" applyFont="1" applyAlignment="1">
      <alignment horizontal="center"/>
    </xf>
    <xf numFmtId="168" fontId="4" fillId="0" borderId="0" xfId="1" applyNumberFormat="1" applyFont="1" applyAlignment="1">
      <alignment horizontal="center"/>
    </xf>
    <xf numFmtId="168" fontId="4" fillId="0" borderId="0" xfId="1" quotePrefix="1" applyNumberFormat="1" applyFont="1" applyAlignment="1">
      <alignment horizontal="center"/>
    </xf>
    <xf numFmtId="11" fontId="4" fillId="0" borderId="0" xfId="1" quotePrefix="1" applyNumberFormat="1" applyFont="1" applyAlignment="1">
      <alignment horizontal="center"/>
    </xf>
    <xf numFmtId="166" fontId="4" fillId="0" borderId="0" xfId="2" applyNumberFormat="1" applyFont="1" applyAlignment="1">
      <alignment horizontal="center"/>
    </xf>
    <xf numFmtId="166" fontId="4" fillId="0" borderId="0" xfId="1" quotePrefix="1" applyNumberFormat="1" applyFont="1" applyAlignment="1">
      <alignment horizontal="center"/>
    </xf>
    <xf numFmtId="168" fontId="9" fillId="0" borderId="0" xfId="2" applyNumberFormat="1" applyFont="1" applyAlignment="1">
      <alignment horizontal="center"/>
    </xf>
    <xf numFmtId="1" fontId="4" fillId="0" borderId="0" xfId="1" applyNumberFormat="1" applyFont="1" applyAlignment="1">
      <alignment horizontal="center"/>
    </xf>
    <xf numFmtId="166" fontId="4" fillId="0" borderId="0" xfId="1" applyNumberFormat="1" applyFont="1" applyAlignment="1">
      <alignment horizontal="center" wrapText="1"/>
    </xf>
    <xf numFmtId="0" fontId="14" fillId="0" borderId="0" xfId="4" applyFont="1" applyFill="1" applyAlignment="1">
      <alignment horizontal="left" wrapText="1"/>
    </xf>
    <xf numFmtId="0" fontId="14" fillId="0" borderId="2" xfId="3" applyFont="1" applyBorder="1" applyAlignment="1">
      <alignment horizontal="center"/>
    </xf>
    <xf numFmtId="0" fontId="18" fillId="0" borderId="0" xfId="2" applyFont="1" applyBorder="1" applyAlignment="1">
      <alignment horizontal="center" wrapText="1"/>
    </xf>
    <xf numFmtId="0" fontId="3" fillId="0" borderId="0" xfId="0" applyFont="1" applyBorder="1" applyAlignment="1">
      <alignment horizontal="center" wrapText="1"/>
    </xf>
    <xf numFmtId="0" fontId="15" fillId="0" borderId="0" xfId="0" applyFont="1" applyBorder="1" applyAlignment="1">
      <alignment horizontal="left" wrapText="1"/>
    </xf>
    <xf numFmtId="0" fontId="6" fillId="0" borderId="5" xfId="0" applyFont="1" applyBorder="1" applyAlignment="1">
      <alignment horizontal="center" vertical="center"/>
    </xf>
    <xf numFmtId="0" fontId="9" fillId="0" borderId="3"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xf numFmtId="0" fontId="9" fillId="0" borderId="3" xfId="336" applyFont="1" applyBorder="1" applyAlignment="1">
      <alignment horizontal="center" vertical="center" wrapText="1"/>
    </xf>
    <xf numFmtId="0" fontId="9" fillId="0" borderId="0" xfId="336" applyFont="1" applyBorder="1" applyAlignment="1">
      <alignment horizontal="center" vertical="center" wrapText="1"/>
    </xf>
    <xf numFmtId="0" fontId="9" fillId="0" borderId="2" xfId="336" applyFont="1" applyBorder="1" applyAlignment="1">
      <alignment horizontal="center" vertical="center" wrapText="1"/>
    </xf>
    <xf numFmtId="0" fontId="14" fillId="0" borderId="5" xfId="0" applyFont="1" applyBorder="1" applyAlignment="1">
      <alignment horizontal="left" vertical="center" wrapText="1"/>
    </xf>
    <xf numFmtId="39" fontId="4" fillId="0" borderId="0" xfId="1" quotePrefix="1" applyNumberFormat="1" applyFont="1" applyAlignment="1">
      <alignment horizontal="center"/>
    </xf>
    <xf numFmtId="167" fontId="4" fillId="0" borderId="0" xfId="1" quotePrefix="1" applyNumberFormat="1" applyFont="1" applyAlignment="1">
      <alignment horizontal="center"/>
    </xf>
    <xf numFmtId="2" fontId="4" fillId="0" borderId="0" xfId="1" applyNumberFormat="1" applyFont="1" applyAlignment="1">
      <alignment horizontal="center"/>
    </xf>
    <xf numFmtId="2" fontId="4" fillId="0" borderId="0" xfId="2" applyNumberFormat="1" applyFont="1" applyAlignment="1">
      <alignment horizontal="center"/>
    </xf>
    <xf numFmtId="0" fontId="30" fillId="0" borderId="5" xfId="2" applyFont="1" applyBorder="1" applyAlignment="1">
      <alignment horizontal="center" wrapText="1"/>
    </xf>
    <xf numFmtId="0" fontId="41" fillId="0" borderId="0" xfId="340" applyFont="1" applyAlignment="1">
      <alignment horizontal="center"/>
    </xf>
  </cellXfs>
  <cellStyles count="449">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8"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7"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Normal" xfId="0" builtinId="0"/>
    <cellStyle name="Normal 18" xfId="2"/>
    <cellStyle name="Normal 18 2" xfId="3"/>
    <cellStyle name="Normal 18 2 2" xfId="4"/>
    <cellStyle name="Normal 2" xfId="336"/>
    <cellStyle name="Normal 3" xfId="1"/>
    <cellStyle name="Normal 4" xfId="339"/>
    <cellStyle name="Normal 5" xfId="34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 Id="rId2"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 Id="rId2"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 Id="rId2"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 Id="rId2" Type="http://schemas.openxmlformats.org/officeDocument/2006/relationships/chartUserShapes" Target="../drawings/drawing1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5081072117222"/>
          <c:y val="0.0721901428988043"/>
          <c:w val="0.598433186852303"/>
          <c:h val="0.837516143815355"/>
        </c:manualLayout>
      </c:layout>
      <c:scatterChart>
        <c:scatterStyle val="lineMarker"/>
        <c:varyColors val="0"/>
        <c:ser>
          <c:idx val="1"/>
          <c:order val="0"/>
          <c:tx>
            <c:strRef>
              <c:f>'Beh Fig3'!$D$1</c:f>
              <c:strCache>
                <c:ptCount val="1"/>
                <c:pt idx="0">
                  <c:v>Mean Effort</c:v>
                </c:pt>
              </c:strCache>
            </c:strRef>
          </c:tx>
          <c:spPr>
            <a:ln w="28575">
              <a:noFill/>
            </a:ln>
          </c:spPr>
          <c:marker>
            <c:symbol val="circle"/>
            <c:size val="7"/>
            <c:spPr>
              <a:solidFill>
                <a:schemeClr val="tx1"/>
              </a:solidFill>
              <a:ln>
                <a:noFill/>
              </a:ln>
            </c:spPr>
          </c:marker>
          <c:dPt>
            <c:idx val="14"/>
            <c:marker>
              <c:spPr>
                <a:solidFill>
                  <a:schemeClr val="tx1"/>
                </a:solidFill>
                <a:ln w="9525">
                  <a:noFill/>
                </a:ln>
                <a:effectLst>
                  <a:softEdge rad="0"/>
                </a:effectLst>
              </c:spPr>
            </c:marker>
            <c:bubble3D val="0"/>
          </c:dPt>
          <c:errBars>
            <c:errDir val="x"/>
            <c:errBarType val="both"/>
            <c:errValType val="cust"/>
            <c:noEndCap val="0"/>
            <c:plus>
              <c:numRef>
                <c:f>'Beh Fig3'!$F$2:$F$19</c:f>
                <c:numCache>
                  <c:formatCode>General</c:formatCode>
                  <c:ptCount val="18"/>
                  <c:pt idx="0">
                    <c:v>61.20485130310058</c:v>
                  </c:pt>
                  <c:pt idx="1">
                    <c:v>58.34352226257324</c:v>
                  </c:pt>
                  <c:pt idx="2">
                    <c:v>56.36748825073242</c:v>
                  </c:pt>
                  <c:pt idx="3">
                    <c:v>60.04085456848144</c:v>
                  </c:pt>
                  <c:pt idx="4">
                    <c:v>63.0008512878418</c:v>
                  </c:pt>
                  <c:pt idx="5">
                    <c:v>56.07896949768066</c:v>
                  </c:pt>
                  <c:pt idx="6">
                    <c:v>55.73574295043945</c:v>
                  </c:pt>
                  <c:pt idx="7">
                    <c:v>52.63375419616699</c:v>
                  </c:pt>
                  <c:pt idx="8">
                    <c:v>50.82506607055664</c:v>
                  </c:pt>
                  <c:pt idx="9">
                    <c:v>56.20389945983887</c:v>
                  </c:pt>
                  <c:pt idx="10">
                    <c:v>48.47806655883789</c:v>
                  </c:pt>
                  <c:pt idx="11">
                    <c:v>53.67190505981445</c:v>
                  </c:pt>
                  <c:pt idx="12">
                    <c:v>53.84094818115234</c:v>
                  </c:pt>
                  <c:pt idx="13">
                    <c:v>51.77548782348633</c:v>
                  </c:pt>
                  <c:pt idx="14">
                    <c:v>48.32995475769043</c:v>
                  </c:pt>
                  <c:pt idx="15">
                    <c:v>45.24962631225585</c:v>
                  </c:pt>
                  <c:pt idx="16">
                    <c:v>47.59775856018067</c:v>
                  </c:pt>
                  <c:pt idx="17">
                    <c:v>45.05544990539551</c:v>
                  </c:pt>
                </c:numCache>
              </c:numRef>
            </c:plus>
            <c:minus>
              <c:numRef>
                <c:f>'Beh Fig3'!$F$2:$F$19</c:f>
                <c:numCache>
                  <c:formatCode>General</c:formatCode>
                  <c:ptCount val="18"/>
                  <c:pt idx="0">
                    <c:v>61.20485130310058</c:v>
                  </c:pt>
                  <c:pt idx="1">
                    <c:v>58.34352226257324</c:v>
                  </c:pt>
                  <c:pt idx="2">
                    <c:v>56.36748825073242</c:v>
                  </c:pt>
                  <c:pt idx="3">
                    <c:v>60.04085456848144</c:v>
                  </c:pt>
                  <c:pt idx="4">
                    <c:v>63.0008512878418</c:v>
                  </c:pt>
                  <c:pt idx="5">
                    <c:v>56.07896949768066</c:v>
                  </c:pt>
                  <c:pt idx="6">
                    <c:v>55.73574295043945</c:v>
                  </c:pt>
                  <c:pt idx="7">
                    <c:v>52.63375419616699</c:v>
                  </c:pt>
                  <c:pt idx="8">
                    <c:v>50.82506607055664</c:v>
                  </c:pt>
                  <c:pt idx="9">
                    <c:v>56.20389945983887</c:v>
                  </c:pt>
                  <c:pt idx="10">
                    <c:v>48.47806655883789</c:v>
                  </c:pt>
                  <c:pt idx="11">
                    <c:v>53.67190505981445</c:v>
                  </c:pt>
                  <c:pt idx="12">
                    <c:v>53.84094818115234</c:v>
                  </c:pt>
                  <c:pt idx="13">
                    <c:v>51.77548782348633</c:v>
                  </c:pt>
                  <c:pt idx="14">
                    <c:v>48.32995475769043</c:v>
                  </c:pt>
                  <c:pt idx="15">
                    <c:v>45.24962631225585</c:v>
                  </c:pt>
                  <c:pt idx="16">
                    <c:v>47.59775856018067</c:v>
                  </c:pt>
                  <c:pt idx="17">
                    <c:v>45.05544990539551</c:v>
                  </c:pt>
                </c:numCache>
              </c:numRef>
            </c:minus>
            <c:spPr>
              <a:ln w="1270">
                <a:solidFill>
                  <a:sysClr val="windowText" lastClr="000000">
                    <a:shade val="95000"/>
                    <a:satMod val="105000"/>
                  </a:sysClr>
                </a:solidFill>
                <a:prstDash val="solid"/>
              </a:ln>
            </c:spPr>
          </c:errBars>
          <c:errBars>
            <c:errDir val="y"/>
            <c:errBarType val="both"/>
            <c:errValType val="fixedVal"/>
            <c:noEndCap val="0"/>
            <c:val val="0.0"/>
          </c:errBars>
          <c:xVal>
            <c:numRef>
              <c:f>'Beh Fig3'!$D$2:$D$19</c:f>
              <c:numCache>
                <c:formatCode>General</c:formatCode>
                <c:ptCount val="18"/>
                <c:pt idx="0">
                  <c:v>1520.6796875</c:v>
                </c:pt>
                <c:pt idx="1">
                  <c:v>1601.899047851562</c:v>
                </c:pt>
                <c:pt idx="2">
                  <c:v>1739.5361328125</c:v>
                </c:pt>
                <c:pt idx="3">
                  <c:v>1761.292846679687</c:v>
                </c:pt>
                <c:pt idx="4">
                  <c:v>1848.364990234375</c:v>
                </c:pt>
                <c:pt idx="5">
                  <c:v>1883.193359375</c:v>
                </c:pt>
                <c:pt idx="6">
                  <c:v>1895.538696289062</c:v>
                </c:pt>
                <c:pt idx="7">
                  <c:v>1906.99462890625</c:v>
                </c:pt>
                <c:pt idx="8">
                  <c:v>1918.415283203125</c:v>
                </c:pt>
                <c:pt idx="9">
                  <c:v>1970.365478515625</c:v>
                </c:pt>
                <c:pt idx="10">
                  <c:v>1977.144409179687</c:v>
                </c:pt>
                <c:pt idx="11">
                  <c:v>2004.205932617187</c:v>
                </c:pt>
                <c:pt idx="12">
                  <c:v>2029.444458007812</c:v>
                </c:pt>
                <c:pt idx="13">
                  <c:v>2131.857666015625</c:v>
                </c:pt>
                <c:pt idx="14">
                  <c:v>2135.952392578124</c:v>
                </c:pt>
                <c:pt idx="15">
                  <c:v>2154.7724609375</c:v>
                </c:pt>
                <c:pt idx="16">
                  <c:v>2174.618408203125</c:v>
                </c:pt>
                <c:pt idx="17">
                  <c:v>2187.857177734374</c:v>
                </c:pt>
              </c:numCache>
            </c:numRef>
          </c:xVal>
          <c:yVal>
            <c:numRef>
              <c:f>'Beh Fig3'!$C$2:$C$19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dLbls>
          <c:showLegendKey val="0"/>
          <c:showVal val="0"/>
          <c:showCatName val="0"/>
          <c:showSerName val="0"/>
          <c:showPercent val="0"/>
          <c:showBubbleSize val="0"/>
        </c:dLbls>
        <c:axId val="-1170467584"/>
        <c:axId val="-1170458464"/>
      </c:scatterChart>
      <c:valAx>
        <c:axId val="-1170467584"/>
        <c:scaling>
          <c:orientation val="minMax"/>
          <c:max val="2250.0"/>
          <c:min val="1400.0"/>
        </c:scaling>
        <c:delete val="0"/>
        <c:axPos val="b"/>
        <c:title>
          <c:tx>
            <c:rich>
              <a:bodyPr/>
              <a:lstStyle/>
              <a:p>
                <a:pPr>
                  <a:defRPr/>
                </a:pPr>
                <a:r>
                  <a:rPr lang="en-US"/>
                  <a:t>Button Presses</a:t>
                </a:r>
              </a:p>
            </c:rich>
          </c:tx>
          <c:layout/>
          <c:overlay val="0"/>
        </c:title>
        <c:numFmt formatCode="0" sourceLinked="0"/>
        <c:majorTickMark val="out"/>
        <c:minorTickMark val="none"/>
        <c:tickLblPos val="nextTo"/>
        <c:txPr>
          <a:bodyPr rot="0" vert="horz"/>
          <a:lstStyle/>
          <a:p>
            <a:pPr>
              <a:defRPr/>
            </a:pPr>
            <a:endParaRPr lang="en-US"/>
          </a:p>
        </c:txPr>
        <c:crossAx val="-1170458464"/>
        <c:crosses val="autoZero"/>
        <c:crossBetween val="midCat"/>
      </c:valAx>
      <c:valAx>
        <c:axId val="-1170458464"/>
        <c:scaling>
          <c:orientation val="minMax"/>
          <c:max val="1.0"/>
          <c:min val="0.0"/>
        </c:scaling>
        <c:delete val="0"/>
        <c:axPos val="r"/>
        <c:numFmt formatCode="0.00" sourceLinked="1"/>
        <c:majorTickMark val="none"/>
        <c:minorTickMark val="none"/>
        <c:tickLblPos val="none"/>
        <c:spPr>
          <a:ln>
            <a:noFill/>
          </a:ln>
        </c:spPr>
        <c:crossAx val="-1170467584"/>
        <c:crosses val="max"/>
        <c:crossBetween val="midCat"/>
        <c:majorUnit val="0.5"/>
      </c:valAx>
    </c:plotArea>
    <c:plotVisOnly val="1"/>
    <c:dispBlanksAs val="gap"/>
    <c:showDLblsOverMax val="0"/>
  </c:chart>
  <c:spPr>
    <a:ln>
      <a:noFill/>
    </a:ln>
  </c:spPr>
  <c:txPr>
    <a:bodyPr/>
    <a:lstStyle/>
    <a:p>
      <a:pPr>
        <a:defRPr sz="1100">
          <a:latin typeface="Calibri" charset="0"/>
          <a:ea typeface="Calibri" charset="0"/>
          <a:cs typeface="Calibri"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53582727926787"/>
          <c:y val="0.0721901428988043"/>
          <c:w val="0.599931513331495"/>
          <c:h val="0.837516143815355"/>
        </c:manualLayout>
      </c:layout>
      <c:scatterChart>
        <c:scatterStyle val="lineMarker"/>
        <c:varyColors val="0"/>
        <c:ser>
          <c:idx val="2"/>
          <c:order val="0"/>
          <c:tx>
            <c:strRef>
              <c:f>'Beh Fig5'!$E$1</c:f>
              <c:strCache>
                <c:ptCount val="1"/>
                <c:pt idx="0">
                  <c:v>Forecasts</c:v>
                </c:pt>
              </c:strCache>
            </c:strRef>
          </c:tx>
          <c:spPr>
            <a:ln w="28575">
              <a:noFill/>
            </a:ln>
          </c:spPr>
          <c:marker>
            <c:symbol val="square"/>
            <c:size val="7"/>
            <c:spPr>
              <a:solidFill>
                <a:srgbClr val="F05700"/>
              </a:solidFill>
              <a:ln>
                <a:solidFill>
                  <a:srgbClr val="F05700"/>
                </a:solidFill>
              </a:ln>
            </c:spPr>
          </c:marker>
          <c:errBars>
            <c:errDir val="x"/>
            <c:errBarType val="plus"/>
            <c:errValType val="cust"/>
            <c:noEndCap val="1"/>
            <c:plus>
              <c:numLit>
                <c:formatCode>General</c:formatCode>
                <c:ptCount val="33"/>
                <c:pt idx="0">
                  <c:v>2.399999618530273</c:v>
                </c:pt>
                <c:pt idx="1">
                  <c:v>3.699999809265137</c:v>
                </c:pt>
                <c:pt idx="2">
                  <c:v>6.899999618530272</c:v>
                </c:pt>
                <c:pt idx="3">
                  <c:v>6.999999046325684</c:v>
                </c:pt>
                <c:pt idx="4">
                  <c:v>3.800000190734857</c:v>
                </c:pt>
                <c:pt idx="5">
                  <c:v>6.5</c:v>
                </c:pt>
                <c:pt idx="6">
                  <c:v>5.30000019073487</c:v>
                </c:pt>
                <c:pt idx="7">
                  <c:v>4.799999713897704</c:v>
                </c:pt>
                <c:pt idx="8">
                  <c:v>4.200000286102295</c:v>
                </c:pt>
                <c:pt idx="9">
                  <c:v>4.999999523162841</c:v>
                </c:pt>
                <c:pt idx="10">
                  <c:v>3.0</c:v>
                </c:pt>
                <c:pt idx="11">
                  <c:v>2.300000190734857</c:v>
                </c:pt>
                <c:pt idx="12">
                  <c:v>7.399999618530272</c:v>
                </c:pt>
                <c:pt idx="13">
                  <c:v>7.500000476837156</c:v>
                </c:pt>
                <c:pt idx="14">
                  <c:v>4.24374992772937</c:v>
                </c:pt>
                <c:pt idx="15">
                  <c:v>2.800000190734857</c:v>
                </c:pt>
                <c:pt idx="16">
                  <c:v>3.099999904632568</c:v>
                </c:pt>
                <c:pt idx="17">
                  <c:v>4.499999523162841</c:v>
                </c:pt>
                <c:pt idx="18">
                  <c:v>2.899999618530273</c:v>
                </c:pt>
                <c:pt idx="19">
                  <c:v>2.200000286102295</c:v>
                </c:pt>
                <c:pt idx="20">
                  <c:v>3.99999952316284</c:v>
                </c:pt>
                <c:pt idx="21">
                  <c:v>4.09999990463257</c:v>
                </c:pt>
                <c:pt idx="22">
                  <c:v>4.80000019073487</c:v>
                </c:pt>
                <c:pt idx="23">
                  <c:v>3.700000286102295</c:v>
                </c:pt>
                <c:pt idx="24">
                  <c:v>3.800000190734857</c:v>
                </c:pt>
                <c:pt idx="25">
                  <c:v>3.200000047683716</c:v>
                </c:pt>
                <c:pt idx="26">
                  <c:v>3.800000190734857</c:v>
                </c:pt>
                <c:pt idx="27">
                  <c:v>3.099999904632568</c:v>
                </c:pt>
                <c:pt idx="28">
                  <c:v>3.399999856948852</c:v>
                </c:pt>
                <c:pt idx="29">
                  <c:v>7.500000238418576</c:v>
                </c:pt>
                <c:pt idx="30">
                  <c:v>5.399999618530272</c:v>
                </c:pt>
                <c:pt idx="31">
                  <c:v>0.600000023841858</c:v>
                </c:pt>
                <c:pt idx="32">
                  <c:v>3.099999904632568</c:v>
                </c:pt>
              </c:numLit>
            </c:plus>
            <c:spPr>
              <a:ln w="12700">
                <a:noFill/>
              </a:ln>
            </c:spPr>
          </c:errBars>
          <c:xVal>
            <c:numRef>
              <c:f>'Beh Fig5'!$E$2:$E$19</c:f>
              <c:numCache>
                <c:formatCode>0</c:formatCode>
                <c:ptCount val="18"/>
                <c:pt idx="1">
                  <c:v>1709.462</c:v>
                </c:pt>
                <c:pt idx="2">
                  <c:v>1756.942</c:v>
                </c:pt>
                <c:pt idx="3">
                  <c:v>1849.885</c:v>
                </c:pt>
                <c:pt idx="4">
                  <c:v>1877.346</c:v>
                </c:pt>
                <c:pt idx="5">
                  <c:v>1657.433</c:v>
                </c:pt>
                <c:pt idx="6">
                  <c:v>1966.692</c:v>
                </c:pt>
                <c:pt idx="7">
                  <c:v>1893.601</c:v>
                </c:pt>
                <c:pt idx="8">
                  <c:v>1996.587</c:v>
                </c:pt>
                <c:pt idx="9">
                  <c:v>1895.192</c:v>
                </c:pt>
                <c:pt idx="10">
                  <c:v>1941.385</c:v>
                </c:pt>
                <c:pt idx="11">
                  <c:v>1932.668</c:v>
                </c:pt>
                <c:pt idx="13">
                  <c:v>2056.51</c:v>
                </c:pt>
                <c:pt idx="14">
                  <c:v>1955.288</c:v>
                </c:pt>
                <c:pt idx="15">
                  <c:v>2002.471</c:v>
                </c:pt>
                <c:pt idx="17">
                  <c:v>2007.212</c:v>
                </c:pt>
              </c:numCache>
            </c:numRef>
          </c:xVal>
          <c:yVal>
            <c:numRef>
              <c:f>'Beh Fig5'!$C$2:$C$19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ser>
          <c:idx val="1"/>
          <c:order val="1"/>
          <c:tx>
            <c:strRef>
              <c:f>'Beh Fig5'!$D$1</c:f>
              <c:strCache>
                <c:ptCount val="1"/>
                <c:pt idx="0">
                  <c:v>Actual Effort</c:v>
                </c:pt>
              </c:strCache>
            </c:strRef>
          </c:tx>
          <c:spPr>
            <a:ln w="28575">
              <a:noFill/>
            </a:ln>
            <a:effectLst>
              <a:softEdge rad="0"/>
            </a:effectLst>
          </c:spPr>
          <c:marker>
            <c:symbol val="circle"/>
            <c:size val="7"/>
            <c:spPr>
              <a:solidFill>
                <a:schemeClr val="tx1"/>
              </a:solidFill>
              <a:ln>
                <a:solidFill>
                  <a:schemeClr val="tx1"/>
                </a:solidFill>
              </a:ln>
              <a:effectLst>
                <a:softEdge rad="0"/>
              </a:effectLst>
            </c:spPr>
          </c:marker>
          <c:dPt>
            <c:idx val="14"/>
            <c:marker>
              <c:spPr>
                <a:solidFill>
                  <a:schemeClr val="tx1"/>
                </a:solidFill>
                <a:ln w="9525">
                  <a:solidFill>
                    <a:schemeClr val="tx1"/>
                  </a:solidFill>
                </a:ln>
                <a:effectLst>
                  <a:softEdge rad="0"/>
                </a:effectLst>
              </c:spPr>
            </c:marker>
            <c:bubble3D val="0"/>
          </c:dPt>
          <c:xVal>
            <c:numRef>
              <c:f>'Beh Fig5'!$D$2:$D$19</c:f>
              <c:numCache>
                <c:formatCode>0</c:formatCode>
                <c:ptCount val="18"/>
                <c:pt idx="0">
                  <c:v>1520.6796875</c:v>
                </c:pt>
                <c:pt idx="1">
                  <c:v>1601.899047851562</c:v>
                </c:pt>
                <c:pt idx="2">
                  <c:v>1739.5361328125</c:v>
                </c:pt>
                <c:pt idx="3">
                  <c:v>1761.292846679687</c:v>
                </c:pt>
                <c:pt idx="4">
                  <c:v>1848.364990234375</c:v>
                </c:pt>
                <c:pt idx="5">
                  <c:v>1883.193359375</c:v>
                </c:pt>
                <c:pt idx="6">
                  <c:v>1895.538696289062</c:v>
                </c:pt>
                <c:pt idx="7">
                  <c:v>1906.99462890625</c:v>
                </c:pt>
                <c:pt idx="8">
                  <c:v>1918.415283203125</c:v>
                </c:pt>
                <c:pt idx="9">
                  <c:v>1970.365478515625</c:v>
                </c:pt>
                <c:pt idx="10">
                  <c:v>1977.144409179687</c:v>
                </c:pt>
                <c:pt idx="11">
                  <c:v>2004.205932617187</c:v>
                </c:pt>
                <c:pt idx="12">
                  <c:v>2029.444458007812</c:v>
                </c:pt>
                <c:pt idx="13">
                  <c:v>2131.857666015625</c:v>
                </c:pt>
                <c:pt idx="14">
                  <c:v>2135.952392578124</c:v>
                </c:pt>
                <c:pt idx="15">
                  <c:v>2154.7724609375</c:v>
                </c:pt>
                <c:pt idx="16">
                  <c:v>2174.618408203125</c:v>
                </c:pt>
                <c:pt idx="17">
                  <c:v>2187.857177734374</c:v>
                </c:pt>
              </c:numCache>
            </c:numRef>
          </c:xVal>
          <c:yVal>
            <c:numRef>
              <c:f>'Beh Fig5'!$C$2:$C$19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dLbls>
          <c:showLegendKey val="0"/>
          <c:showVal val="0"/>
          <c:showCatName val="0"/>
          <c:showSerName val="0"/>
          <c:showPercent val="0"/>
          <c:showBubbleSize val="0"/>
        </c:dLbls>
        <c:axId val="-1216082064"/>
        <c:axId val="-1216078672"/>
      </c:scatterChart>
      <c:valAx>
        <c:axId val="-1216082064"/>
        <c:scaling>
          <c:orientation val="minMax"/>
          <c:max val="2250.0"/>
          <c:min val="1400.0"/>
        </c:scaling>
        <c:delete val="0"/>
        <c:axPos val="b"/>
        <c:title>
          <c:tx>
            <c:rich>
              <a:bodyPr/>
              <a:lstStyle/>
              <a:p>
                <a:pPr>
                  <a:defRPr sz="1100">
                    <a:latin typeface="Calibri" charset="0"/>
                    <a:ea typeface="Calibri" charset="0"/>
                    <a:cs typeface="Calibri" charset="0"/>
                  </a:defRPr>
                </a:pPr>
                <a:r>
                  <a:rPr lang="en-US" sz="1100">
                    <a:latin typeface="Calibri" charset="0"/>
                    <a:ea typeface="Calibri" charset="0"/>
                    <a:cs typeface="Calibri" charset="0"/>
                  </a:rPr>
                  <a:t>Button Presses</a:t>
                </a:r>
              </a:p>
            </c:rich>
          </c:tx>
          <c:layout>
            <c:manualLayout>
              <c:xMode val="edge"/>
              <c:yMode val="edge"/>
              <c:x val="0.601978684669264"/>
              <c:y val="0.936144154118238"/>
            </c:manualLayout>
          </c:layout>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charset="0"/>
                <a:ea typeface="Calibri" charset="0"/>
                <a:cs typeface="Calibri" charset="0"/>
              </a:defRPr>
            </a:pPr>
            <a:endParaRPr lang="en-US"/>
          </a:p>
        </c:txPr>
        <c:crossAx val="-1216078672"/>
        <c:crosses val="autoZero"/>
        <c:crossBetween val="midCat"/>
      </c:valAx>
      <c:valAx>
        <c:axId val="-1216078672"/>
        <c:scaling>
          <c:orientation val="minMax"/>
          <c:max val="1.0"/>
          <c:min val="0.0"/>
        </c:scaling>
        <c:delete val="0"/>
        <c:axPos val="r"/>
        <c:numFmt formatCode="0.00" sourceLinked="1"/>
        <c:majorTickMark val="none"/>
        <c:minorTickMark val="none"/>
        <c:tickLblPos val="none"/>
        <c:spPr>
          <a:ln>
            <a:noFill/>
          </a:ln>
        </c:spPr>
        <c:crossAx val="-1216082064"/>
        <c:crosses val="max"/>
        <c:crossBetween val="midCat"/>
        <c:majorUnit val="0.5"/>
      </c:valAx>
    </c:plotArea>
    <c:legend>
      <c:legendPos val="b"/>
      <c:layout>
        <c:manualLayout>
          <c:xMode val="edge"/>
          <c:yMode val="edge"/>
          <c:x val="0.53871613446182"/>
          <c:y val="0.957343416849322"/>
          <c:w val="0.239419623821963"/>
          <c:h val="0.0289011320231313"/>
        </c:manualLayout>
      </c:layout>
      <c:overlay val="0"/>
      <c:txPr>
        <a:bodyPr/>
        <a:lstStyle/>
        <a:p>
          <a:pPr>
            <a:defRPr sz="1100">
              <a:latin typeface="Calibri" charset="0"/>
              <a:ea typeface="Calibri" charset="0"/>
              <a:cs typeface="Calibri" charset="0"/>
            </a:defRPr>
          </a:pPr>
          <a:endParaRPr lang="en-US"/>
        </a:p>
      </c:txPr>
    </c:legend>
    <c:plotVisOnly val="1"/>
    <c:dispBlanksAs val="gap"/>
    <c:showDLblsOverMax val="0"/>
  </c:chart>
  <c:spPr>
    <a:ln>
      <a:noFill/>
    </a:ln>
  </c:spPr>
  <c:txPr>
    <a:bodyPr/>
    <a:lstStyle/>
    <a:p>
      <a:pPr>
        <a:defRPr>
          <a:latin typeface="Cabin" pitchFamily="34" charset="0"/>
        </a:defRPr>
      </a:pPr>
      <a:endParaRPr lang="en-US"/>
    </a:p>
  </c:txPr>
  <c:printSettings>
    <c:headerFooter/>
    <c:pageMargins b="0.75" l="0.7" r="0.7" t="0.75" header="0.3" footer="0.3"/>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smoothMarker"/>
        <c:varyColors val="0"/>
        <c:ser>
          <c:idx val="0"/>
          <c:order val="0"/>
          <c:tx>
            <c:v>4 Cent Bonus</c:v>
          </c:tx>
          <c:spPr>
            <a:ln w="22225"/>
          </c:spPr>
          <c:marker>
            <c:symbol val="none"/>
          </c:marker>
          <c:xVal>
            <c:numRef>
              <c:f>'Fig6 Data'!$D$4:$D$211</c:f>
              <c:numCache>
                <c:formatCode>General</c:formatCode>
                <c:ptCount val="208"/>
                <c:pt idx="0">
                  <c:v>1343.0</c:v>
                </c:pt>
                <c:pt idx="1">
                  <c:v>1465.0</c:v>
                </c:pt>
                <c:pt idx="2">
                  <c:v>1510.0</c:v>
                </c:pt>
                <c:pt idx="3">
                  <c:v>1578.0</c:v>
                </c:pt>
                <c:pt idx="4">
                  <c:v>1681.0</c:v>
                </c:pt>
                <c:pt idx="5">
                  <c:v>1706.0</c:v>
                </c:pt>
                <c:pt idx="6">
                  <c:v>1708.0</c:v>
                </c:pt>
                <c:pt idx="7">
                  <c:v>1742.0</c:v>
                </c:pt>
                <c:pt idx="8">
                  <c:v>1798.0</c:v>
                </c:pt>
                <c:pt idx="9">
                  <c:v>1837.0</c:v>
                </c:pt>
                <c:pt idx="10">
                  <c:v>1850.0</c:v>
                </c:pt>
                <c:pt idx="11">
                  <c:v>1857.0</c:v>
                </c:pt>
                <c:pt idx="12">
                  <c:v>1883.0</c:v>
                </c:pt>
                <c:pt idx="13">
                  <c:v>1899.0</c:v>
                </c:pt>
                <c:pt idx="14">
                  <c:v>1900.0</c:v>
                </c:pt>
                <c:pt idx="15">
                  <c:v>1901.0</c:v>
                </c:pt>
                <c:pt idx="16">
                  <c:v>1901.0</c:v>
                </c:pt>
                <c:pt idx="17">
                  <c:v>1902.0</c:v>
                </c:pt>
                <c:pt idx="18">
                  <c:v>1908.0</c:v>
                </c:pt>
                <c:pt idx="19">
                  <c:v>1910.0</c:v>
                </c:pt>
                <c:pt idx="20">
                  <c:v>1921.0</c:v>
                </c:pt>
                <c:pt idx="21">
                  <c:v>1922.0</c:v>
                </c:pt>
                <c:pt idx="22">
                  <c:v>1929.0</c:v>
                </c:pt>
                <c:pt idx="23">
                  <c:v>1964.0</c:v>
                </c:pt>
                <c:pt idx="24">
                  <c:v>1971.0</c:v>
                </c:pt>
                <c:pt idx="25">
                  <c:v>1980.0</c:v>
                </c:pt>
                <c:pt idx="26">
                  <c:v>2000.0</c:v>
                </c:pt>
                <c:pt idx="27">
                  <c:v>2006.0</c:v>
                </c:pt>
                <c:pt idx="28">
                  <c:v>2012.0</c:v>
                </c:pt>
                <c:pt idx="29">
                  <c:v>2018.0</c:v>
                </c:pt>
                <c:pt idx="30">
                  <c:v>2019.0</c:v>
                </c:pt>
                <c:pt idx="31">
                  <c:v>2025.0</c:v>
                </c:pt>
                <c:pt idx="32">
                  <c:v>2028.0</c:v>
                </c:pt>
                <c:pt idx="33">
                  <c:v>2028.0</c:v>
                </c:pt>
                <c:pt idx="34">
                  <c:v>2030.0</c:v>
                </c:pt>
                <c:pt idx="35">
                  <c:v>2032.0</c:v>
                </c:pt>
                <c:pt idx="36">
                  <c:v>2035.0</c:v>
                </c:pt>
                <c:pt idx="37">
                  <c:v>2039.0</c:v>
                </c:pt>
                <c:pt idx="38">
                  <c:v>2040.0</c:v>
                </c:pt>
                <c:pt idx="39">
                  <c:v>2040.0</c:v>
                </c:pt>
                <c:pt idx="40">
                  <c:v>2042.0</c:v>
                </c:pt>
                <c:pt idx="41">
                  <c:v>2045.0</c:v>
                </c:pt>
                <c:pt idx="42">
                  <c:v>2045.0</c:v>
                </c:pt>
                <c:pt idx="43">
                  <c:v>2046.0</c:v>
                </c:pt>
                <c:pt idx="44">
                  <c:v>2047.0</c:v>
                </c:pt>
                <c:pt idx="45">
                  <c:v>2047.0</c:v>
                </c:pt>
                <c:pt idx="46">
                  <c:v>2048.0</c:v>
                </c:pt>
                <c:pt idx="47">
                  <c:v>2049.0</c:v>
                </c:pt>
                <c:pt idx="48">
                  <c:v>2049.0</c:v>
                </c:pt>
                <c:pt idx="49">
                  <c:v>2049.0</c:v>
                </c:pt>
                <c:pt idx="50">
                  <c:v>2050.0</c:v>
                </c:pt>
                <c:pt idx="51">
                  <c:v>2050.0</c:v>
                </c:pt>
                <c:pt idx="52">
                  <c:v>2051.0</c:v>
                </c:pt>
                <c:pt idx="53">
                  <c:v>2051.0</c:v>
                </c:pt>
                <c:pt idx="54">
                  <c:v>2051.0</c:v>
                </c:pt>
                <c:pt idx="55">
                  <c:v>2052.0</c:v>
                </c:pt>
                <c:pt idx="56">
                  <c:v>2052.0</c:v>
                </c:pt>
                <c:pt idx="57">
                  <c:v>2055.0</c:v>
                </c:pt>
                <c:pt idx="58">
                  <c:v>2055.0</c:v>
                </c:pt>
                <c:pt idx="59">
                  <c:v>2055.0</c:v>
                </c:pt>
                <c:pt idx="60">
                  <c:v>2056.0</c:v>
                </c:pt>
                <c:pt idx="61">
                  <c:v>2056.0</c:v>
                </c:pt>
                <c:pt idx="62">
                  <c:v>2057.0</c:v>
                </c:pt>
                <c:pt idx="63">
                  <c:v>2057.0</c:v>
                </c:pt>
                <c:pt idx="64">
                  <c:v>2058.0</c:v>
                </c:pt>
                <c:pt idx="65">
                  <c:v>2058.0</c:v>
                </c:pt>
                <c:pt idx="66">
                  <c:v>2058.0</c:v>
                </c:pt>
                <c:pt idx="67">
                  <c:v>2059.0</c:v>
                </c:pt>
                <c:pt idx="68">
                  <c:v>2059.0</c:v>
                </c:pt>
                <c:pt idx="69">
                  <c:v>2060.0</c:v>
                </c:pt>
                <c:pt idx="70">
                  <c:v>2060.0</c:v>
                </c:pt>
                <c:pt idx="71">
                  <c:v>2060.0</c:v>
                </c:pt>
                <c:pt idx="72">
                  <c:v>2060.0</c:v>
                </c:pt>
                <c:pt idx="73">
                  <c:v>2061.0</c:v>
                </c:pt>
                <c:pt idx="74">
                  <c:v>2061.0</c:v>
                </c:pt>
                <c:pt idx="75">
                  <c:v>2062.0</c:v>
                </c:pt>
                <c:pt idx="76">
                  <c:v>2062.0</c:v>
                </c:pt>
                <c:pt idx="77">
                  <c:v>2062.0</c:v>
                </c:pt>
                <c:pt idx="78">
                  <c:v>2064.0</c:v>
                </c:pt>
                <c:pt idx="79">
                  <c:v>2065.0</c:v>
                </c:pt>
                <c:pt idx="80">
                  <c:v>2066.0</c:v>
                </c:pt>
                <c:pt idx="81">
                  <c:v>2066.0</c:v>
                </c:pt>
                <c:pt idx="82">
                  <c:v>2066.0</c:v>
                </c:pt>
                <c:pt idx="83">
                  <c:v>2066.0</c:v>
                </c:pt>
                <c:pt idx="84">
                  <c:v>2066.0</c:v>
                </c:pt>
                <c:pt idx="85">
                  <c:v>2068.0</c:v>
                </c:pt>
                <c:pt idx="86">
                  <c:v>2069.0</c:v>
                </c:pt>
                <c:pt idx="87">
                  <c:v>2070.0</c:v>
                </c:pt>
                <c:pt idx="88">
                  <c:v>2070.0</c:v>
                </c:pt>
                <c:pt idx="89">
                  <c:v>2070.0</c:v>
                </c:pt>
                <c:pt idx="90">
                  <c:v>2071.0</c:v>
                </c:pt>
                <c:pt idx="91">
                  <c:v>2072.0</c:v>
                </c:pt>
                <c:pt idx="92">
                  <c:v>2073.0</c:v>
                </c:pt>
                <c:pt idx="93">
                  <c:v>2073.0</c:v>
                </c:pt>
                <c:pt idx="94">
                  <c:v>2073.0</c:v>
                </c:pt>
                <c:pt idx="95">
                  <c:v>2075.0</c:v>
                </c:pt>
                <c:pt idx="96">
                  <c:v>2076.0</c:v>
                </c:pt>
                <c:pt idx="97">
                  <c:v>2076.0</c:v>
                </c:pt>
                <c:pt idx="98">
                  <c:v>2076.0</c:v>
                </c:pt>
                <c:pt idx="99">
                  <c:v>2076.0</c:v>
                </c:pt>
                <c:pt idx="100">
                  <c:v>2078.0</c:v>
                </c:pt>
                <c:pt idx="101">
                  <c:v>2078.0</c:v>
                </c:pt>
                <c:pt idx="102">
                  <c:v>2079.0</c:v>
                </c:pt>
                <c:pt idx="103">
                  <c:v>2080.0</c:v>
                </c:pt>
                <c:pt idx="104">
                  <c:v>2080.0</c:v>
                </c:pt>
                <c:pt idx="105">
                  <c:v>2080.0</c:v>
                </c:pt>
                <c:pt idx="106">
                  <c:v>2081.0</c:v>
                </c:pt>
                <c:pt idx="107">
                  <c:v>2082.0</c:v>
                </c:pt>
                <c:pt idx="108">
                  <c:v>2082.0</c:v>
                </c:pt>
                <c:pt idx="109">
                  <c:v>2082.0</c:v>
                </c:pt>
                <c:pt idx="110">
                  <c:v>2082.0</c:v>
                </c:pt>
                <c:pt idx="111">
                  <c:v>2083.0</c:v>
                </c:pt>
                <c:pt idx="112">
                  <c:v>2083.0</c:v>
                </c:pt>
                <c:pt idx="113">
                  <c:v>2085.0</c:v>
                </c:pt>
                <c:pt idx="114">
                  <c:v>2085.0</c:v>
                </c:pt>
                <c:pt idx="115">
                  <c:v>2087.0</c:v>
                </c:pt>
                <c:pt idx="116">
                  <c:v>2087.0</c:v>
                </c:pt>
                <c:pt idx="117">
                  <c:v>2088.0</c:v>
                </c:pt>
                <c:pt idx="118">
                  <c:v>2088.0</c:v>
                </c:pt>
                <c:pt idx="119">
                  <c:v>2089.0</c:v>
                </c:pt>
                <c:pt idx="120">
                  <c:v>2092.0</c:v>
                </c:pt>
                <c:pt idx="121">
                  <c:v>2092.0</c:v>
                </c:pt>
                <c:pt idx="122">
                  <c:v>2092.0</c:v>
                </c:pt>
                <c:pt idx="123">
                  <c:v>2092.0</c:v>
                </c:pt>
                <c:pt idx="124">
                  <c:v>2093.0</c:v>
                </c:pt>
                <c:pt idx="125">
                  <c:v>2095.0</c:v>
                </c:pt>
                <c:pt idx="126">
                  <c:v>2095.0</c:v>
                </c:pt>
                <c:pt idx="127">
                  <c:v>2096.0</c:v>
                </c:pt>
                <c:pt idx="128">
                  <c:v>2096.0</c:v>
                </c:pt>
                <c:pt idx="129">
                  <c:v>2096.0</c:v>
                </c:pt>
                <c:pt idx="130">
                  <c:v>2096.0</c:v>
                </c:pt>
                <c:pt idx="131">
                  <c:v>2097.0</c:v>
                </c:pt>
                <c:pt idx="132">
                  <c:v>2097.0</c:v>
                </c:pt>
                <c:pt idx="133">
                  <c:v>2098.0</c:v>
                </c:pt>
                <c:pt idx="134">
                  <c:v>2098.0</c:v>
                </c:pt>
                <c:pt idx="135">
                  <c:v>2098.0</c:v>
                </c:pt>
                <c:pt idx="136">
                  <c:v>2098.0</c:v>
                </c:pt>
                <c:pt idx="137">
                  <c:v>2098.0</c:v>
                </c:pt>
                <c:pt idx="138">
                  <c:v>2098.0</c:v>
                </c:pt>
                <c:pt idx="139">
                  <c:v>2099.0</c:v>
                </c:pt>
                <c:pt idx="140">
                  <c:v>2099.0</c:v>
                </c:pt>
                <c:pt idx="141">
                  <c:v>2099.0</c:v>
                </c:pt>
                <c:pt idx="142">
                  <c:v>2100.0</c:v>
                </c:pt>
                <c:pt idx="143">
                  <c:v>2100.0</c:v>
                </c:pt>
                <c:pt idx="144">
                  <c:v>2100.0</c:v>
                </c:pt>
                <c:pt idx="145">
                  <c:v>2100.0</c:v>
                </c:pt>
                <c:pt idx="146">
                  <c:v>2100.0</c:v>
                </c:pt>
                <c:pt idx="147">
                  <c:v>2100.0</c:v>
                </c:pt>
                <c:pt idx="148">
                  <c:v>2100.0</c:v>
                </c:pt>
                <c:pt idx="149">
                  <c:v>2101.0</c:v>
                </c:pt>
                <c:pt idx="150">
                  <c:v>2102.0</c:v>
                </c:pt>
                <c:pt idx="151">
                  <c:v>2102.0</c:v>
                </c:pt>
                <c:pt idx="152">
                  <c:v>2102.0</c:v>
                </c:pt>
                <c:pt idx="153">
                  <c:v>2102.0</c:v>
                </c:pt>
                <c:pt idx="154">
                  <c:v>2102.0</c:v>
                </c:pt>
                <c:pt idx="155">
                  <c:v>2102.0</c:v>
                </c:pt>
                <c:pt idx="156">
                  <c:v>2102.0</c:v>
                </c:pt>
                <c:pt idx="157">
                  <c:v>2102.0</c:v>
                </c:pt>
                <c:pt idx="158">
                  <c:v>2102.0</c:v>
                </c:pt>
                <c:pt idx="159">
                  <c:v>2103.0</c:v>
                </c:pt>
                <c:pt idx="160">
                  <c:v>2103.0</c:v>
                </c:pt>
                <c:pt idx="161">
                  <c:v>2105.0</c:v>
                </c:pt>
                <c:pt idx="162">
                  <c:v>2106.0</c:v>
                </c:pt>
                <c:pt idx="163">
                  <c:v>2106.0</c:v>
                </c:pt>
                <c:pt idx="164">
                  <c:v>2107.0</c:v>
                </c:pt>
                <c:pt idx="165">
                  <c:v>2108.0</c:v>
                </c:pt>
                <c:pt idx="166">
                  <c:v>2108.0</c:v>
                </c:pt>
                <c:pt idx="167">
                  <c:v>2108.0</c:v>
                </c:pt>
                <c:pt idx="168">
                  <c:v>2108.0</c:v>
                </c:pt>
                <c:pt idx="169">
                  <c:v>2108.0</c:v>
                </c:pt>
                <c:pt idx="170">
                  <c:v>2109.0</c:v>
                </c:pt>
                <c:pt idx="171">
                  <c:v>2112.0</c:v>
                </c:pt>
                <c:pt idx="172">
                  <c:v>2113.0</c:v>
                </c:pt>
                <c:pt idx="173">
                  <c:v>2115.0</c:v>
                </c:pt>
                <c:pt idx="174">
                  <c:v>2115.0</c:v>
                </c:pt>
                <c:pt idx="175">
                  <c:v>2116.0</c:v>
                </c:pt>
                <c:pt idx="176">
                  <c:v>2117.0</c:v>
                </c:pt>
                <c:pt idx="177">
                  <c:v>2117.0</c:v>
                </c:pt>
                <c:pt idx="178">
                  <c:v>2120.0</c:v>
                </c:pt>
                <c:pt idx="179">
                  <c:v>2122.0</c:v>
                </c:pt>
                <c:pt idx="180">
                  <c:v>2126.0</c:v>
                </c:pt>
                <c:pt idx="181">
                  <c:v>2127.0</c:v>
                </c:pt>
                <c:pt idx="182">
                  <c:v>2129.0</c:v>
                </c:pt>
                <c:pt idx="183">
                  <c:v>2130.0</c:v>
                </c:pt>
                <c:pt idx="184">
                  <c:v>2133.0</c:v>
                </c:pt>
                <c:pt idx="185">
                  <c:v>2139.0</c:v>
                </c:pt>
                <c:pt idx="186">
                  <c:v>2142.0</c:v>
                </c:pt>
                <c:pt idx="187">
                  <c:v>2143.0</c:v>
                </c:pt>
                <c:pt idx="188">
                  <c:v>2147.0</c:v>
                </c:pt>
                <c:pt idx="189">
                  <c:v>2148.0</c:v>
                </c:pt>
                <c:pt idx="190">
                  <c:v>2149.0</c:v>
                </c:pt>
                <c:pt idx="191">
                  <c:v>2149.0</c:v>
                </c:pt>
                <c:pt idx="192">
                  <c:v>2152.0</c:v>
                </c:pt>
                <c:pt idx="193">
                  <c:v>2152.0</c:v>
                </c:pt>
                <c:pt idx="194">
                  <c:v>2160.0</c:v>
                </c:pt>
                <c:pt idx="195">
                  <c:v>2162.0</c:v>
                </c:pt>
                <c:pt idx="196">
                  <c:v>2163.0</c:v>
                </c:pt>
                <c:pt idx="197">
                  <c:v>2167.0</c:v>
                </c:pt>
                <c:pt idx="198">
                  <c:v>2175.0</c:v>
                </c:pt>
                <c:pt idx="199">
                  <c:v>2183.0</c:v>
                </c:pt>
                <c:pt idx="200">
                  <c:v>2199.0</c:v>
                </c:pt>
                <c:pt idx="201">
                  <c:v>2206.0</c:v>
                </c:pt>
                <c:pt idx="202">
                  <c:v>2213.0</c:v>
                </c:pt>
                <c:pt idx="203">
                  <c:v>2233.0</c:v>
                </c:pt>
                <c:pt idx="204">
                  <c:v>2237.0</c:v>
                </c:pt>
                <c:pt idx="205">
                  <c:v>2243.0</c:v>
                </c:pt>
                <c:pt idx="206">
                  <c:v>2336.0</c:v>
                </c:pt>
                <c:pt idx="207">
                  <c:v>2373.0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
          <c:order val="1"/>
          <c:tx>
            <c:v>Very Low Pay</c:v>
          </c:tx>
          <c:spPr>
            <a:ln w="22225">
              <a:solidFill>
                <a:schemeClr val="tx1"/>
              </a:solidFill>
            </a:ln>
          </c:spPr>
          <c:marker>
            <c:symbol val="none"/>
          </c:marker>
          <c:xVal>
            <c:numRef>
              <c:f>'Fig6 Data'!$E$4:$E$211</c:f>
              <c:numCache>
                <c:formatCode>General</c:formatCode>
                <c:ptCount val="208"/>
                <c:pt idx="0">
                  <c:v>1000.0</c:v>
                </c:pt>
                <c:pt idx="1">
                  <c:v>1050.0</c:v>
                </c:pt>
                <c:pt idx="2">
                  <c:v>1057.0</c:v>
                </c:pt>
                <c:pt idx="3">
                  <c:v>1120.0</c:v>
                </c:pt>
                <c:pt idx="4">
                  <c:v>1140.0</c:v>
                </c:pt>
                <c:pt idx="5">
                  <c:v>1191.0</c:v>
                </c:pt>
                <c:pt idx="6">
                  <c:v>1191.0</c:v>
                </c:pt>
                <c:pt idx="7">
                  <c:v>1197.0</c:v>
                </c:pt>
                <c:pt idx="8">
                  <c:v>1201.0</c:v>
                </c:pt>
                <c:pt idx="9">
                  <c:v>1210.0</c:v>
                </c:pt>
                <c:pt idx="10">
                  <c:v>1228.0</c:v>
                </c:pt>
                <c:pt idx="11">
                  <c:v>1243.0</c:v>
                </c:pt>
                <c:pt idx="12">
                  <c:v>1251.0</c:v>
                </c:pt>
                <c:pt idx="13">
                  <c:v>1254.0</c:v>
                </c:pt>
                <c:pt idx="14">
                  <c:v>1259.0</c:v>
                </c:pt>
                <c:pt idx="15">
                  <c:v>1277.0</c:v>
                </c:pt>
                <c:pt idx="16">
                  <c:v>1280.0</c:v>
                </c:pt>
                <c:pt idx="17">
                  <c:v>1300.0</c:v>
                </c:pt>
                <c:pt idx="18">
                  <c:v>1300.0</c:v>
                </c:pt>
                <c:pt idx="19">
                  <c:v>1301.0</c:v>
                </c:pt>
                <c:pt idx="20">
                  <c:v>1304.0</c:v>
                </c:pt>
                <c:pt idx="21">
                  <c:v>1307.0</c:v>
                </c:pt>
                <c:pt idx="22">
                  <c:v>1328.0</c:v>
                </c:pt>
                <c:pt idx="23">
                  <c:v>1345.0</c:v>
                </c:pt>
                <c:pt idx="24">
                  <c:v>1351.0</c:v>
                </c:pt>
                <c:pt idx="25">
                  <c:v>1351.0</c:v>
                </c:pt>
                <c:pt idx="26">
                  <c:v>1355.0</c:v>
                </c:pt>
                <c:pt idx="27">
                  <c:v>1357.0</c:v>
                </c:pt>
                <c:pt idx="28">
                  <c:v>1362.0</c:v>
                </c:pt>
                <c:pt idx="29">
                  <c:v>1388.0</c:v>
                </c:pt>
                <c:pt idx="30">
                  <c:v>1388.0</c:v>
                </c:pt>
                <c:pt idx="31">
                  <c:v>1398.0</c:v>
                </c:pt>
                <c:pt idx="32">
                  <c:v>1401.0</c:v>
                </c:pt>
                <c:pt idx="33">
                  <c:v>1402.0</c:v>
                </c:pt>
                <c:pt idx="34">
                  <c:v>1408.0</c:v>
                </c:pt>
                <c:pt idx="35">
                  <c:v>1421.0</c:v>
                </c:pt>
                <c:pt idx="36">
                  <c:v>1425.0</c:v>
                </c:pt>
                <c:pt idx="37">
                  <c:v>1427.0</c:v>
                </c:pt>
                <c:pt idx="38">
                  <c:v>1428.0</c:v>
                </c:pt>
                <c:pt idx="39">
                  <c:v>1437.0</c:v>
                </c:pt>
                <c:pt idx="40">
                  <c:v>1447.0</c:v>
                </c:pt>
                <c:pt idx="41">
                  <c:v>1448.0</c:v>
                </c:pt>
                <c:pt idx="42">
                  <c:v>1449.0</c:v>
                </c:pt>
                <c:pt idx="43">
                  <c:v>1450.0</c:v>
                </c:pt>
                <c:pt idx="44">
                  <c:v>1450.0</c:v>
                </c:pt>
                <c:pt idx="45">
                  <c:v>1451.0</c:v>
                </c:pt>
                <c:pt idx="46">
                  <c:v>1451.0</c:v>
                </c:pt>
                <c:pt idx="47">
                  <c:v>1452.0</c:v>
                </c:pt>
                <c:pt idx="48">
                  <c:v>1452.0</c:v>
                </c:pt>
                <c:pt idx="49">
                  <c:v>1453.0</c:v>
                </c:pt>
                <c:pt idx="50">
                  <c:v>1454.0</c:v>
                </c:pt>
                <c:pt idx="51">
                  <c:v>1454.0</c:v>
                </c:pt>
                <c:pt idx="52">
                  <c:v>1458.0</c:v>
                </c:pt>
                <c:pt idx="53">
                  <c:v>1459.0</c:v>
                </c:pt>
                <c:pt idx="54">
                  <c:v>1468.0</c:v>
                </c:pt>
                <c:pt idx="55">
                  <c:v>1478.0</c:v>
                </c:pt>
                <c:pt idx="56">
                  <c:v>1479.0</c:v>
                </c:pt>
                <c:pt idx="57">
                  <c:v>1480.0</c:v>
                </c:pt>
                <c:pt idx="58">
                  <c:v>1485.0</c:v>
                </c:pt>
                <c:pt idx="59">
                  <c:v>1485.0</c:v>
                </c:pt>
                <c:pt idx="60">
                  <c:v>1496.0</c:v>
                </c:pt>
                <c:pt idx="61">
                  <c:v>1500.0</c:v>
                </c:pt>
                <c:pt idx="62">
                  <c:v>1501.0</c:v>
                </c:pt>
                <c:pt idx="63">
                  <c:v>1501.0</c:v>
                </c:pt>
                <c:pt idx="64">
                  <c:v>1503.0</c:v>
                </c:pt>
                <c:pt idx="65">
                  <c:v>1503.0</c:v>
                </c:pt>
                <c:pt idx="66">
                  <c:v>1510.0</c:v>
                </c:pt>
                <c:pt idx="67">
                  <c:v>1521.0</c:v>
                </c:pt>
                <c:pt idx="68">
                  <c:v>1522.0</c:v>
                </c:pt>
                <c:pt idx="69">
                  <c:v>1528.0</c:v>
                </c:pt>
                <c:pt idx="70">
                  <c:v>1531.0</c:v>
                </c:pt>
                <c:pt idx="71">
                  <c:v>1535.0</c:v>
                </c:pt>
                <c:pt idx="72">
                  <c:v>1536.0</c:v>
                </c:pt>
                <c:pt idx="73">
                  <c:v>1549.0</c:v>
                </c:pt>
                <c:pt idx="74">
                  <c:v>1550.0</c:v>
                </c:pt>
                <c:pt idx="75">
                  <c:v>1550.0</c:v>
                </c:pt>
                <c:pt idx="76">
                  <c:v>1567.0</c:v>
                </c:pt>
                <c:pt idx="77">
                  <c:v>1568.0</c:v>
                </c:pt>
                <c:pt idx="78">
                  <c:v>1569.0</c:v>
                </c:pt>
                <c:pt idx="79">
                  <c:v>1570.0</c:v>
                </c:pt>
                <c:pt idx="80">
                  <c:v>1577.0</c:v>
                </c:pt>
                <c:pt idx="81">
                  <c:v>1578.0</c:v>
                </c:pt>
                <c:pt idx="82">
                  <c:v>1581.0</c:v>
                </c:pt>
                <c:pt idx="83">
                  <c:v>1583.0</c:v>
                </c:pt>
                <c:pt idx="84">
                  <c:v>1586.0</c:v>
                </c:pt>
                <c:pt idx="85">
                  <c:v>1591.0</c:v>
                </c:pt>
                <c:pt idx="86">
                  <c:v>1596.0</c:v>
                </c:pt>
                <c:pt idx="87">
                  <c:v>1598.0</c:v>
                </c:pt>
                <c:pt idx="88">
                  <c:v>1598.0</c:v>
                </c:pt>
                <c:pt idx="89">
                  <c:v>1600.0</c:v>
                </c:pt>
                <c:pt idx="90">
                  <c:v>1600.0</c:v>
                </c:pt>
                <c:pt idx="91">
                  <c:v>1600.0</c:v>
                </c:pt>
                <c:pt idx="92">
                  <c:v>1603.0</c:v>
                </c:pt>
                <c:pt idx="93">
                  <c:v>1603.0</c:v>
                </c:pt>
                <c:pt idx="94">
                  <c:v>1603.0</c:v>
                </c:pt>
                <c:pt idx="95">
                  <c:v>1603.0</c:v>
                </c:pt>
                <c:pt idx="96">
                  <c:v>1606.0</c:v>
                </c:pt>
                <c:pt idx="97">
                  <c:v>1606.0</c:v>
                </c:pt>
                <c:pt idx="98">
                  <c:v>1620.0</c:v>
                </c:pt>
                <c:pt idx="99">
                  <c:v>1621.0</c:v>
                </c:pt>
                <c:pt idx="100">
                  <c:v>1623.0</c:v>
                </c:pt>
                <c:pt idx="101">
                  <c:v>1625.0</c:v>
                </c:pt>
                <c:pt idx="102">
                  <c:v>1626.0</c:v>
                </c:pt>
                <c:pt idx="103">
                  <c:v>1631.0</c:v>
                </c:pt>
                <c:pt idx="104">
                  <c:v>1633.0</c:v>
                </c:pt>
                <c:pt idx="105">
                  <c:v>1635.0</c:v>
                </c:pt>
                <c:pt idx="106">
                  <c:v>1636.0</c:v>
                </c:pt>
                <c:pt idx="107">
                  <c:v>1648.0</c:v>
                </c:pt>
                <c:pt idx="108">
                  <c:v>1650.0</c:v>
                </c:pt>
                <c:pt idx="109">
                  <c:v>1655.0</c:v>
                </c:pt>
                <c:pt idx="110">
                  <c:v>1658.0</c:v>
                </c:pt>
                <c:pt idx="111">
                  <c:v>1663.0</c:v>
                </c:pt>
                <c:pt idx="112">
                  <c:v>1670.0</c:v>
                </c:pt>
                <c:pt idx="113">
                  <c:v>1670.0</c:v>
                </c:pt>
                <c:pt idx="114">
                  <c:v>1673.0</c:v>
                </c:pt>
                <c:pt idx="115">
                  <c:v>1681.0</c:v>
                </c:pt>
                <c:pt idx="116">
                  <c:v>1686.0</c:v>
                </c:pt>
                <c:pt idx="117">
                  <c:v>1691.0</c:v>
                </c:pt>
                <c:pt idx="118">
                  <c:v>1695.0</c:v>
                </c:pt>
                <c:pt idx="119">
                  <c:v>1700.0</c:v>
                </c:pt>
                <c:pt idx="120">
                  <c:v>1700.0</c:v>
                </c:pt>
                <c:pt idx="121">
                  <c:v>1703.0</c:v>
                </c:pt>
                <c:pt idx="122">
                  <c:v>1713.0</c:v>
                </c:pt>
                <c:pt idx="123">
                  <c:v>1723.0</c:v>
                </c:pt>
                <c:pt idx="124">
                  <c:v>1723.0</c:v>
                </c:pt>
                <c:pt idx="125">
                  <c:v>1725.0</c:v>
                </c:pt>
                <c:pt idx="126">
                  <c:v>1727.0</c:v>
                </c:pt>
                <c:pt idx="127">
                  <c:v>1730.0</c:v>
                </c:pt>
                <c:pt idx="128">
                  <c:v>1732.0</c:v>
                </c:pt>
                <c:pt idx="129">
                  <c:v>1738.0</c:v>
                </c:pt>
                <c:pt idx="130">
                  <c:v>1750.0</c:v>
                </c:pt>
                <c:pt idx="131">
                  <c:v>1752.0</c:v>
                </c:pt>
                <c:pt idx="132">
                  <c:v>1752.0</c:v>
                </c:pt>
                <c:pt idx="133">
                  <c:v>1753.0</c:v>
                </c:pt>
                <c:pt idx="134">
                  <c:v>1755.0</c:v>
                </c:pt>
                <c:pt idx="135">
                  <c:v>1757.0</c:v>
                </c:pt>
                <c:pt idx="136">
                  <c:v>1767.0</c:v>
                </c:pt>
                <c:pt idx="137">
                  <c:v>1770.0</c:v>
                </c:pt>
                <c:pt idx="138">
                  <c:v>1785.0</c:v>
                </c:pt>
                <c:pt idx="139">
                  <c:v>1795.0</c:v>
                </c:pt>
                <c:pt idx="140">
                  <c:v>1797.0</c:v>
                </c:pt>
                <c:pt idx="141">
                  <c:v>1800.0</c:v>
                </c:pt>
                <c:pt idx="142">
                  <c:v>1800.0</c:v>
                </c:pt>
                <c:pt idx="143">
                  <c:v>1800.0</c:v>
                </c:pt>
                <c:pt idx="144">
                  <c:v>1802.0</c:v>
                </c:pt>
                <c:pt idx="145">
                  <c:v>1803.0</c:v>
                </c:pt>
                <c:pt idx="146">
                  <c:v>1804.0</c:v>
                </c:pt>
                <c:pt idx="147">
                  <c:v>1808.0</c:v>
                </c:pt>
                <c:pt idx="148">
                  <c:v>1827.0</c:v>
                </c:pt>
                <c:pt idx="149">
                  <c:v>1833.0</c:v>
                </c:pt>
                <c:pt idx="150">
                  <c:v>1847.0</c:v>
                </c:pt>
                <c:pt idx="151">
                  <c:v>1847.0</c:v>
                </c:pt>
                <c:pt idx="152">
                  <c:v>1857.0</c:v>
                </c:pt>
                <c:pt idx="153">
                  <c:v>1865.0</c:v>
                </c:pt>
                <c:pt idx="154">
                  <c:v>1881.0</c:v>
                </c:pt>
                <c:pt idx="155">
                  <c:v>1897.0</c:v>
                </c:pt>
                <c:pt idx="156">
                  <c:v>1899.0</c:v>
                </c:pt>
                <c:pt idx="157">
                  <c:v>1908.0</c:v>
                </c:pt>
                <c:pt idx="158">
                  <c:v>1915.0</c:v>
                </c:pt>
                <c:pt idx="159">
                  <c:v>1917.0</c:v>
                </c:pt>
                <c:pt idx="160">
                  <c:v>1927.0</c:v>
                </c:pt>
                <c:pt idx="161">
                  <c:v>1928.0</c:v>
                </c:pt>
                <c:pt idx="162">
                  <c:v>1931.0</c:v>
                </c:pt>
                <c:pt idx="163">
                  <c:v>1933.0</c:v>
                </c:pt>
                <c:pt idx="164">
                  <c:v>1934.0</c:v>
                </c:pt>
                <c:pt idx="165">
                  <c:v>1934.0</c:v>
                </c:pt>
                <c:pt idx="166">
                  <c:v>1934.0</c:v>
                </c:pt>
                <c:pt idx="167">
                  <c:v>1941.0</c:v>
                </c:pt>
                <c:pt idx="168">
                  <c:v>1949.0</c:v>
                </c:pt>
                <c:pt idx="169">
                  <c:v>1950.0</c:v>
                </c:pt>
                <c:pt idx="170">
                  <c:v>1952.0</c:v>
                </c:pt>
                <c:pt idx="171">
                  <c:v>1955.0</c:v>
                </c:pt>
                <c:pt idx="172">
                  <c:v>1957.0</c:v>
                </c:pt>
                <c:pt idx="173">
                  <c:v>1959.0</c:v>
                </c:pt>
                <c:pt idx="174">
                  <c:v>1964.0</c:v>
                </c:pt>
                <c:pt idx="175">
                  <c:v>1965.0</c:v>
                </c:pt>
                <c:pt idx="176">
                  <c:v>1967.0</c:v>
                </c:pt>
                <c:pt idx="177">
                  <c:v>1970.0</c:v>
                </c:pt>
                <c:pt idx="178">
                  <c:v>1971.0</c:v>
                </c:pt>
                <c:pt idx="179">
                  <c:v>1974.0</c:v>
                </c:pt>
                <c:pt idx="180">
                  <c:v>1976.0</c:v>
                </c:pt>
                <c:pt idx="181">
                  <c:v>1979.0</c:v>
                </c:pt>
                <c:pt idx="182">
                  <c:v>1987.0</c:v>
                </c:pt>
                <c:pt idx="183">
                  <c:v>1988.0</c:v>
                </c:pt>
                <c:pt idx="184">
                  <c:v>1996.0</c:v>
                </c:pt>
                <c:pt idx="185">
                  <c:v>2001.0</c:v>
                </c:pt>
                <c:pt idx="186">
                  <c:v>2004.0</c:v>
                </c:pt>
                <c:pt idx="187">
                  <c:v>2006.0</c:v>
                </c:pt>
                <c:pt idx="188">
                  <c:v>2006.0</c:v>
                </c:pt>
                <c:pt idx="189">
                  <c:v>2009.0</c:v>
                </c:pt>
                <c:pt idx="190">
                  <c:v>2011.0</c:v>
                </c:pt>
                <c:pt idx="191">
                  <c:v>2012.0</c:v>
                </c:pt>
                <c:pt idx="192">
                  <c:v>2012.0</c:v>
                </c:pt>
                <c:pt idx="193">
                  <c:v>2027.0</c:v>
                </c:pt>
                <c:pt idx="194">
                  <c:v>2028.0</c:v>
                </c:pt>
                <c:pt idx="195">
                  <c:v>2029.0</c:v>
                </c:pt>
                <c:pt idx="196">
                  <c:v>2029.0</c:v>
                </c:pt>
                <c:pt idx="197">
                  <c:v>2029.0</c:v>
                </c:pt>
                <c:pt idx="198">
                  <c:v>2033.0</c:v>
                </c:pt>
                <c:pt idx="199">
                  <c:v>2035.0</c:v>
                </c:pt>
                <c:pt idx="200">
                  <c:v>2055.0</c:v>
                </c:pt>
                <c:pt idx="201">
                  <c:v>2102.0</c:v>
                </c:pt>
                <c:pt idx="202">
                  <c:v>2120.0</c:v>
                </c:pt>
                <c:pt idx="203">
                  <c:v>2130.0</c:v>
                </c:pt>
                <c:pt idx="204">
                  <c:v>2137.0</c:v>
                </c:pt>
                <c:pt idx="205">
                  <c:v>2183.0</c:v>
                </c:pt>
                <c:pt idx="206">
                  <c:v>2202.0</c:v>
                </c:pt>
                <c:pt idx="207">
                  <c:v>2320.0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2"/>
          <c:order val="2"/>
          <c:tx>
            <c:v>1 Cent for Charity</c:v>
          </c:tx>
          <c:spPr>
            <a:ln w="22225"/>
          </c:spPr>
          <c:marker>
            <c:symbol val="none"/>
          </c:marker>
          <c:xVal>
            <c:numRef>
              <c:f>'Fig6 Data'!$F$4:$F$211</c:f>
              <c:numCache>
                <c:formatCode>General</c:formatCode>
                <c:ptCount val="208"/>
                <c:pt idx="0">
                  <c:v>1000.0</c:v>
                </c:pt>
                <c:pt idx="1">
                  <c:v>1274.0</c:v>
                </c:pt>
                <c:pt idx="2">
                  <c:v>1327.0</c:v>
                </c:pt>
                <c:pt idx="3">
                  <c:v>1470.0</c:v>
                </c:pt>
                <c:pt idx="4">
                  <c:v>1494.0</c:v>
                </c:pt>
                <c:pt idx="5">
                  <c:v>1500.0</c:v>
                </c:pt>
                <c:pt idx="6">
                  <c:v>1508.0</c:v>
                </c:pt>
                <c:pt idx="7">
                  <c:v>1520.0</c:v>
                </c:pt>
                <c:pt idx="8">
                  <c:v>1524.0</c:v>
                </c:pt>
                <c:pt idx="9">
                  <c:v>1530.0</c:v>
                </c:pt>
                <c:pt idx="10">
                  <c:v>1530.0</c:v>
                </c:pt>
                <c:pt idx="11">
                  <c:v>1567.0</c:v>
                </c:pt>
                <c:pt idx="12">
                  <c:v>1570.0</c:v>
                </c:pt>
                <c:pt idx="13">
                  <c:v>1573.0</c:v>
                </c:pt>
                <c:pt idx="14">
                  <c:v>1586.0</c:v>
                </c:pt>
                <c:pt idx="15">
                  <c:v>1619.0</c:v>
                </c:pt>
                <c:pt idx="16">
                  <c:v>1621.0</c:v>
                </c:pt>
                <c:pt idx="17">
                  <c:v>1623.0</c:v>
                </c:pt>
                <c:pt idx="18">
                  <c:v>1626.0</c:v>
                </c:pt>
                <c:pt idx="19">
                  <c:v>1626.0</c:v>
                </c:pt>
                <c:pt idx="20">
                  <c:v>1630.0</c:v>
                </c:pt>
                <c:pt idx="21">
                  <c:v>1633.0</c:v>
                </c:pt>
                <c:pt idx="22">
                  <c:v>1633.0</c:v>
                </c:pt>
                <c:pt idx="23">
                  <c:v>1635.0</c:v>
                </c:pt>
                <c:pt idx="24">
                  <c:v>1643.0</c:v>
                </c:pt>
                <c:pt idx="25">
                  <c:v>1645.0</c:v>
                </c:pt>
                <c:pt idx="26">
                  <c:v>1645.0</c:v>
                </c:pt>
                <c:pt idx="27">
                  <c:v>1650.0</c:v>
                </c:pt>
                <c:pt idx="28">
                  <c:v>1651.0</c:v>
                </c:pt>
                <c:pt idx="29">
                  <c:v>1653.0</c:v>
                </c:pt>
                <c:pt idx="30">
                  <c:v>1660.0</c:v>
                </c:pt>
                <c:pt idx="31">
                  <c:v>1663.0</c:v>
                </c:pt>
                <c:pt idx="32">
                  <c:v>1665.0</c:v>
                </c:pt>
                <c:pt idx="33">
                  <c:v>1671.0</c:v>
                </c:pt>
                <c:pt idx="34">
                  <c:v>1683.0</c:v>
                </c:pt>
                <c:pt idx="35">
                  <c:v>1685.0</c:v>
                </c:pt>
                <c:pt idx="36">
                  <c:v>1688.0</c:v>
                </c:pt>
                <c:pt idx="37">
                  <c:v>1690.0</c:v>
                </c:pt>
                <c:pt idx="38">
                  <c:v>1693.0</c:v>
                </c:pt>
                <c:pt idx="39">
                  <c:v>1702.0</c:v>
                </c:pt>
                <c:pt idx="40">
                  <c:v>1705.0</c:v>
                </c:pt>
                <c:pt idx="41">
                  <c:v>1706.0</c:v>
                </c:pt>
                <c:pt idx="42">
                  <c:v>1725.0</c:v>
                </c:pt>
                <c:pt idx="43">
                  <c:v>1727.0</c:v>
                </c:pt>
                <c:pt idx="44">
                  <c:v>1730.0</c:v>
                </c:pt>
                <c:pt idx="45">
                  <c:v>1740.0</c:v>
                </c:pt>
                <c:pt idx="46">
                  <c:v>1745.0</c:v>
                </c:pt>
                <c:pt idx="47">
                  <c:v>1745.0</c:v>
                </c:pt>
                <c:pt idx="48">
                  <c:v>1748.0</c:v>
                </c:pt>
                <c:pt idx="49">
                  <c:v>1748.0</c:v>
                </c:pt>
                <c:pt idx="50">
                  <c:v>1748.0</c:v>
                </c:pt>
                <c:pt idx="51">
                  <c:v>1750.0</c:v>
                </c:pt>
                <c:pt idx="52">
                  <c:v>1750.0</c:v>
                </c:pt>
                <c:pt idx="53">
                  <c:v>1760.0</c:v>
                </c:pt>
                <c:pt idx="54">
                  <c:v>1760.0</c:v>
                </c:pt>
                <c:pt idx="55">
                  <c:v>1763.0</c:v>
                </c:pt>
                <c:pt idx="56">
                  <c:v>1767.0</c:v>
                </c:pt>
                <c:pt idx="57">
                  <c:v>1768.0</c:v>
                </c:pt>
                <c:pt idx="58">
                  <c:v>1768.0</c:v>
                </c:pt>
                <c:pt idx="59">
                  <c:v>1785.0</c:v>
                </c:pt>
                <c:pt idx="60">
                  <c:v>1793.0</c:v>
                </c:pt>
                <c:pt idx="61">
                  <c:v>1795.0</c:v>
                </c:pt>
                <c:pt idx="62">
                  <c:v>1800.0</c:v>
                </c:pt>
                <c:pt idx="63">
                  <c:v>1800.0</c:v>
                </c:pt>
                <c:pt idx="64">
                  <c:v>1800.0</c:v>
                </c:pt>
                <c:pt idx="65">
                  <c:v>1800.0</c:v>
                </c:pt>
                <c:pt idx="66">
                  <c:v>1802.0</c:v>
                </c:pt>
                <c:pt idx="67">
                  <c:v>1803.0</c:v>
                </c:pt>
                <c:pt idx="68">
                  <c:v>1807.0</c:v>
                </c:pt>
                <c:pt idx="69">
                  <c:v>1808.0</c:v>
                </c:pt>
                <c:pt idx="70">
                  <c:v>1813.0</c:v>
                </c:pt>
                <c:pt idx="71">
                  <c:v>1815.0</c:v>
                </c:pt>
                <c:pt idx="72">
                  <c:v>1817.0</c:v>
                </c:pt>
                <c:pt idx="73">
                  <c:v>1817.0</c:v>
                </c:pt>
                <c:pt idx="74">
                  <c:v>1824.0</c:v>
                </c:pt>
                <c:pt idx="75">
                  <c:v>1827.0</c:v>
                </c:pt>
                <c:pt idx="76">
                  <c:v>1833.0</c:v>
                </c:pt>
                <c:pt idx="77">
                  <c:v>1847.0</c:v>
                </c:pt>
                <c:pt idx="78">
                  <c:v>1847.0</c:v>
                </c:pt>
                <c:pt idx="79">
                  <c:v>1850.0</c:v>
                </c:pt>
                <c:pt idx="80">
                  <c:v>1850.0</c:v>
                </c:pt>
                <c:pt idx="81">
                  <c:v>1852.0</c:v>
                </c:pt>
                <c:pt idx="82">
                  <c:v>1860.0</c:v>
                </c:pt>
                <c:pt idx="83">
                  <c:v>1864.0</c:v>
                </c:pt>
                <c:pt idx="84">
                  <c:v>1864.0</c:v>
                </c:pt>
                <c:pt idx="85">
                  <c:v>1869.0</c:v>
                </c:pt>
                <c:pt idx="86">
                  <c:v>1871.0</c:v>
                </c:pt>
                <c:pt idx="87">
                  <c:v>1880.0</c:v>
                </c:pt>
                <c:pt idx="88">
                  <c:v>1884.0</c:v>
                </c:pt>
                <c:pt idx="89">
                  <c:v>1885.0</c:v>
                </c:pt>
                <c:pt idx="90">
                  <c:v>1889.0</c:v>
                </c:pt>
                <c:pt idx="91">
                  <c:v>1893.0</c:v>
                </c:pt>
                <c:pt idx="92">
                  <c:v>1894.0</c:v>
                </c:pt>
                <c:pt idx="93">
                  <c:v>1895.0</c:v>
                </c:pt>
                <c:pt idx="94">
                  <c:v>1899.0</c:v>
                </c:pt>
                <c:pt idx="95">
                  <c:v>1899.0</c:v>
                </c:pt>
                <c:pt idx="96">
                  <c:v>1901.0</c:v>
                </c:pt>
                <c:pt idx="97">
                  <c:v>1911.0</c:v>
                </c:pt>
                <c:pt idx="98">
                  <c:v>1917.0</c:v>
                </c:pt>
                <c:pt idx="99">
                  <c:v>1920.0</c:v>
                </c:pt>
                <c:pt idx="100">
                  <c:v>1921.0</c:v>
                </c:pt>
                <c:pt idx="101">
                  <c:v>1929.0</c:v>
                </c:pt>
                <c:pt idx="102">
                  <c:v>1942.0</c:v>
                </c:pt>
                <c:pt idx="103">
                  <c:v>1943.0</c:v>
                </c:pt>
                <c:pt idx="104">
                  <c:v>1947.0</c:v>
                </c:pt>
                <c:pt idx="105">
                  <c:v>1948.0</c:v>
                </c:pt>
                <c:pt idx="106">
                  <c:v>1953.0</c:v>
                </c:pt>
                <c:pt idx="107">
                  <c:v>1954.0</c:v>
                </c:pt>
                <c:pt idx="108">
                  <c:v>1959.0</c:v>
                </c:pt>
                <c:pt idx="109">
                  <c:v>1959.0</c:v>
                </c:pt>
                <c:pt idx="110">
                  <c:v>1960.0</c:v>
                </c:pt>
                <c:pt idx="111">
                  <c:v>1965.0</c:v>
                </c:pt>
                <c:pt idx="112">
                  <c:v>1965.0</c:v>
                </c:pt>
                <c:pt idx="113">
                  <c:v>1967.0</c:v>
                </c:pt>
                <c:pt idx="114">
                  <c:v>1972.0</c:v>
                </c:pt>
                <c:pt idx="115">
                  <c:v>1978.0</c:v>
                </c:pt>
                <c:pt idx="116">
                  <c:v>1978.0</c:v>
                </c:pt>
                <c:pt idx="117">
                  <c:v>1980.0</c:v>
                </c:pt>
                <c:pt idx="118">
                  <c:v>1991.0</c:v>
                </c:pt>
                <c:pt idx="119">
                  <c:v>1996.0</c:v>
                </c:pt>
                <c:pt idx="120">
                  <c:v>1998.0</c:v>
                </c:pt>
                <c:pt idx="121">
                  <c:v>2000.0</c:v>
                </c:pt>
                <c:pt idx="122">
                  <c:v>2000.0</c:v>
                </c:pt>
                <c:pt idx="123">
                  <c:v>2000.0</c:v>
                </c:pt>
                <c:pt idx="124">
                  <c:v>2001.0</c:v>
                </c:pt>
                <c:pt idx="125">
                  <c:v>2001.0</c:v>
                </c:pt>
                <c:pt idx="126">
                  <c:v>2001.0</c:v>
                </c:pt>
                <c:pt idx="127">
                  <c:v>2001.0</c:v>
                </c:pt>
                <c:pt idx="128">
                  <c:v>2001.0</c:v>
                </c:pt>
                <c:pt idx="129">
                  <c:v>2002.0</c:v>
                </c:pt>
                <c:pt idx="130">
                  <c:v>2004.0</c:v>
                </c:pt>
                <c:pt idx="131">
                  <c:v>2004.0</c:v>
                </c:pt>
                <c:pt idx="132">
                  <c:v>2006.0</c:v>
                </c:pt>
                <c:pt idx="133">
                  <c:v>2006.0</c:v>
                </c:pt>
                <c:pt idx="134">
                  <c:v>2009.0</c:v>
                </c:pt>
                <c:pt idx="135">
                  <c:v>2009.0</c:v>
                </c:pt>
                <c:pt idx="136">
                  <c:v>2010.0</c:v>
                </c:pt>
                <c:pt idx="137">
                  <c:v>2010.0</c:v>
                </c:pt>
                <c:pt idx="138">
                  <c:v>2016.0</c:v>
                </c:pt>
                <c:pt idx="139">
                  <c:v>2016.0</c:v>
                </c:pt>
                <c:pt idx="140">
                  <c:v>2016.0</c:v>
                </c:pt>
                <c:pt idx="141">
                  <c:v>2016.0</c:v>
                </c:pt>
                <c:pt idx="142">
                  <c:v>2017.0</c:v>
                </c:pt>
                <c:pt idx="143">
                  <c:v>2021.0</c:v>
                </c:pt>
                <c:pt idx="144">
                  <c:v>2025.0</c:v>
                </c:pt>
                <c:pt idx="145">
                  <c:v>2025.0</c:v>
                </c:pt>
                <c:pt idx="146">
                  <c:v>2026.0</c:v>
                </c:pt>
                <c:pt idx="147">
                  <c:v>2027.0</c:v>
                </c:pt>
                <c:pt idx="148">
                  <c:v>2028.0</c:v>
                </c:pt>
                <c:pt idx="149">
                  <c:v>2028.0</c:v>
                </c:pt>
                <c:pt idx="150">
                  <c:v>2028.0</c:v>
                </c:pt>
                <c:pt idx="151">
                  <c:v>2029.0</c:v>
                </c:pt>
                <c:pt idx="152">
                  <c:v>2029.0</c:v>
                </c:pt>
                <c:pt idx="153">
                  <c:v>2029.0</c:v>
                </c:pt>
                <c:pt idx="154">
                  <c:v>2030.0</c:v>
                </c:pt>
                <c:pt idx="155">
                  <c:v>2033.0</c:v>
                </c:pt>
                <c:pt idx="156">
                  <c:v>2040.0</c:v>
                </c:pt>
                <c:pt idx="157">
                  <c:v>2041.0</c:v>
                </c:pt>
                <c:pt idx="158">
                  <c:v>2046.0</c:v>
                </c:pt>
                <c:pt idx="159">
                  <c:v>2048.0</c:v>
                </c:pt>
                <c:pt idx="160">
                  <c:v>2048.0</c:v>
                </c:pt>
                <c:pt idx="161">
                  <c:v>2050.0</c:v>
                </c:pt>
                <c:pt idx="162">
                  <c:v>2050.0</c:v>
                </c:pt>
                <c:pt idx="163">
                  <c:v>2051.0</c:v>
                </c:pt>
                <c:pt idx="164">
                  <c:v>2052.0</c:v>
                </c:pt>
                <c:pt idx="165">
                  <c:v>2053.0</c:v>
                </c:pt>
                <c:pt idx="166">
                  <c:v>2056.0</c:v>
                </c:pt>
                <c:pt idx="167">
                  <c:v>2056.0</c:v>
                </c:pt>
                <c:pt idx="168">
                  <c:v>2061.0</c:v>
                </c:pt>
                <c:pt idx="169">
                  <c:v>2062.0</c:v>
                </c:pt>
                <c:pt idx="170">
                  <c:v>2066.0</c:v>
                </c:pt>
                <c:pt idx="171">
                  <c:v>2068.0</c:v>
                </c:pt>
                <c:pt idx="172">
                  <c:v>2069.0</c:v>
                </c:pt>
                <c:pt idx="173">
                  <c:v>2081.0</c:v>
                </c:pt>
                <c:pt idx="174">
                  <c:v>2082.0</c:v>
                </c:pt>
                <c:pt idx="175">
                  <c:v>2086.0</c:v>
                </c:pt>
                <c:pt idx="176">
                  <c:v>2086.0</c:v>
                </c:pt>
                <c:pt idx="177">
                  <c:v>2088.0</c:v>
                </c:pt>
                <c:pt idx="178">
                  <c:v>2089.0</c:v>
                </c:pt>
                <c:pt idx="179">
                  <c:v>2092.0</c:v>
                </c:pt>
                <c:pt idx="180">
                  <c:v>2092.0</c:v>
                </c:pt>
                <c:pt idx="181">
                  <c:v>2096.0</c:v>
                </c:pt>
                <c:pt idx="182">
                  <c:v>2098.0</c:v>
                </c:pt>
                <c:pt idx="183">
                  <c:v>2099.0</c:v>
                </c:pt>
                <c:pt idx="184">
                  <c:v>2100.0</c:v>
                </c:pt>
                <c:pt idx="185">
                  <c:v>2100.0</c:v>
                </c:pt>
                <c:pt idx="186">
                  <c:v>2102.0</c:v>
                </c:pt>
                <c:pt idx="187">
                  <c:v>2123.0</c:v>
                </c:pt>
                <c:pt idx="188">
                  <c:v>2130.0</c:v>
                </c:pt>
                <c:pt idx="189">
                  <c:v>2130.0</c:v>
                </c:pt>
                <c:pt idx="190">
                  <c:v>2136.0</c:v>
                </c:pt>
                <c:pt idx="191">
                  <c:v>2139.0</c:v>
                </c:pt>
                <c:pt idx="192">
                  <c:v>2146.0</c:v>
                </c:pt>
                <c:pt idx="193">
                  <c:v>2152.0</c:v>
                </c:pt>
                <c:pt idx="194">
                  <c:v>2153.0</c:v>
                </c:pt>
                <c:pt idx="195">
                  <c:v>2155.0</c:v>
                </c:pt>
                <c:pt idx="196">
                  <c:v>2169.0</c:v>
                </c:pt>
                <c:pt idx="197">
                  <c:v>2177.0</c:v>
                </c:pt>
                <c:pt idx="198">
                  <c:v>2179.0</c:v>
                </c:pt>
                <c:pt idx="199">
                  <c:v>2180.0</c:v>
                </c:pt>
                <c:pt idx="200">
                  <c:v>2180.0</c:v>
                </c:pt>
                <c:pt idx="201">
                  <c:v>2189.0</c:v>
                </c:pt>
                <c:pt idx="202">
                  <c:v>2204.0</c:v>
                </c:pt>
                <c:pt idx="203">
                  <c:v>2209.0</c:v>
                </c:pt>
                <c:pt idx="204">
                  <c:v>2210.0</c:v>
                </c:pt>
                <c:pt idx="205">
                  <c:v>2239.0</c:v>
                </c:pt>
                <c:pt idx="206">
                  <c:v>2247.0</c:v>
                </c:pt>
                <c:pt idx="207">
                  <c:v>2266.0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3"/>
          <c:order val="3"/>
          <c:tx>
            <c:v>10 Cents for Charity</c:v>
          </c:tx>
          <c:spPr>
            <a:ln w="22225"/>
          </c:spPr>
          <c:marker>
            <c:symbol val="none"/>
          </c:marker>
          <c:xVal>
            <c:numRef>
              <c:f>'Fig6 Data'!$G$4:$G$211</c:f>
              <c:numCache>
                <c:formatCode>General</c:formatCode>
                <c:ptCount val="208"/>
                <c:pt idx="0">
                  <c:v>1311.0</c:v>
                </c:pt>
                <c:pt idx="1">
                  <c:v>1361.0</c:v>
                </c:pt>
                <c:pt idx="2">
                  <c:v>1503.0</c:v>
                </c:pt>
                <c:pt idx="3">
                  <c:v>1533.0</c:v>
                </c:pt>
                <c:pt idx="4">
                  <c:v>1537.0</c:v>
                </c:pt>
                <c:pt idx="5">
                  <c:v>1588.0</c:v>
                </c:pt>
                <c:pt idx="6">
                  <c:v>1617.0</c:v>
                </c:pt>
                <c:pt idx="7">
                  <c:v>1623.0</c:v>
                </c:pt>
                <c:pt idx="8">
                  <c:v>1640.0</c:v>
                </c:pt>
                <c:pt idx="9">
                  <c:v>1641.0</c:v>
                </c:pt>
                <c:pt idx="10">
                  <c:v>1645.0</c:v>
                </c:pt>
                <c:pt idx="11">
                  <c:v>1667.0</c:v>
                </c:pt>
                <c:pt idx="12">
                  <c:v>1667.0</c:v>
                </c:pt>
                <c:pt idx="13">
                  <c:v>1672.0</c:v>
                </c:pt>
                <c:pt idx="14">
                  <c:v>1675.0</c:v>
                </c:pt>
                <c:pt idx="15">
                  <c:v>1680.0</c:v>
                </c:pt>
                <c:pt idx="16">
                  <c:v>1696.0</c:v>
                </c:pt>
                <c:pt idx="17">
                  <c:v>1698.0</c:v>
                </c:pt>
                <c:pt idx="18">
                  <c:v>1700.0</c:v>
                </c:pt>
                <c:pt idx="19">
                  <c:v>1710.0</c:v>
                </c:pt>
                <c:pt idx="20">
                  <c:v>1717.0</c:v>
                </c:pt>
                <c:pt idx="21">
                  <c:v>1721.0</c:v>
                </c:pt>
                <c:pt idx="22">
                  <c:v>1732.0</c:v>
                </c:pt>
                <c:pt idx="23">
                  <c:v>1736.0</c:v>
                </c:pt>
                <c:pt idx="24">
                  <c:v>1738.0</c:v>
                </c:pt>
                <c:pt idx="25">
                  <c:v>1738.0</c:v>
                </c:pt>
                <c:pt idx="26">
                  <c:v>1740.0</c:v>
                </c:pt>
                <c:pt idx="27">
                  <c:v>1750.0</c:v>
                </c:pt>
                <c:pt idx="28">
                  <c:v>1750.0</c:v>
                </c:pt>
                <c:pt idx="29">
                  <c:v>1758.0</c:v>
                </c:pt>
                <c:pt idx="30">
                  <c:v>1758.0</c:v>
                </c:pt>
                <c:pt idx="31">
                  <c:v>1763.0</c:v>
                </c:pt>
                <c:pt idx="32">
                  <c:v>1765.0</c:v>
                </c:pt>
                <c:pt idx="33">
                  <c:v>1773.0</c:v>
                </c:pt>
                <c:pt idx="34">
                  <c:v>1780.0</c:v>
                </c:pt>
                <c:pt idx="35">
                  <c:v>1787.0</c:v>
                </c:pt>
                <c:pt idx="36">
                  <c:v>1790.0</c:v>
                </c:pt>
                <c:pt idx="37">
                  <c:v>1790.0</c:v>
                </c:pt>
                <c:pt idx="38">
                  <c:v>1802.0</c:v>
                </c:pt>
                <c:pt idx="39">
                  <c:v>1805.0</c:v>
                </c:pt>
                <c:pt idx="40">
                  <c:v>1807.0</c:v>
                </c:pt>
                <c:pt idx="41">
                  <c:v>1815.0</c:v>
                </c:pt>
                <c:pt idx="42">
                  <c:v>1816.0</c:v>
                </c:pt>
                <c:pt idx="43">
                  <c:v>1822.0</c:v>
                </c:pt>
                <c:pt idx="44">
                  <c:v>1825.0</c:v>
                </c:pt>
                <c:pt idx="45">
                  <c:v>1833.0</c:v>
                </c:pt>
                <c:pt idx="46">
                  <c:v>1839.0</c:v>
                </c:pt>
                <c:pt idx="47">
                  <c:v>1847.0</c:v>
                </c:pt>
                <c:pt idx="48">
                  <c:v>1847.0</c:v>
                </c:pt>
                <c:pt idx="49">
                  <c:v>1850.0</c:v>
                </c:pt>
                <c:pt idx="50">
                  <c:v>1850.0</c:v>
                </c:pt>
                <c:pt idx="51">
                  <c:v>1860.0</c:v>
                </c:pt>
                <c:pt idx="52">
                  <c:v>1864.0</c:v>
                </c:pt>
                <c:pt idx="53">
                  <c:v>1872.0</c:v>
                </c:pt>
                <c:pt idx="54">
                  <c:v>1875.0</c:v>
                </c:pt>
                <c:pt idx="55">
                  <c:v>1884.0</c:v>
                </c:pt>
                <c:pt idx="56">
                  <c:v>1887.0</c:v>
                </c:pt>
                <c:pt idx="57">
                  <c:v>1892.0</c:v>
                </c:pt>
                <c:pt idx="58">
                  <c:v>1897.0</c:v>
                </c:pt>
                <c:pt idx="59">
                  <c:v>1900.0</c:v>
                </c:pt>
                <c:pt idx="60">
                  <c:v>1900.0</c:v>
                </c:pt>
                <c:pt idx="61">
                  <c:v>1900.0</c:v>
                </c:pt>
                <c:pt idx="62">
                  <c:v>1901.0</c:v>
                </c:pt>
                <c:pt idx="63">
                  <c:v>1902.0</c:v>
                </c:pt>
                <c:pt idx="64">
                  <c:v>1902.0</c:v>
                </c:pt>
                <c:pt idx="65">
                  <c:v>1903.0</c:v>
                </c:pt>
                <c:pt idx="66">
                  <c:v>1907.0</c:v>
                </c:pt>
                <c:pt idx="67">
                  <c:v>1911.0</c:v>
                </c:pt>
                <c:pt idx="68">
                  <c:v>1915.0</c:v>
                </c:pt>
                <c:pt idx="69">
                  <c:v>1915.0</c:v>
                </c:pt>
                <c:pt idx="70">
                  <c:v>1930.0</c:v>
                </c:pt>
                <c:pt idx="71">
                  <c:v>1935.0</c:v>
                </c:pt>
                <c:pt idx="72">
                  <c:v>1938.0</c:v>
                </c:pt>
                <c:pt idx="73">
                  <c:v>1941.0</c:v>
                </c:pt>
                <c:pt idx="74">
                  <c:v>1950.0</c:v>
                </c:pt>
                <c:pt idx="75">
                  <c:v>1958.0</c:v>
                </c:pt>
                <c:pt idx="76">
                  <c:v>1959.0</c:v>
                </c:pt>
                <c:pt idx="77">
                  <c:v>1961.0</c:v>
                </c:pt>
                <c:pt idx="78">
                  <c:v>1989.0</c:v>
                </c:pt>
                <c:pt idx="79">
                  <c:v>1989.0</c:v>
                </c:pt>
                <c:pt idx="80">
                  <c:v>1996.0</c:v>
                </c:pt>
                <c:pt idx="81">
                  <c:v>1998.0</c:v>
                </c:pt>
                <c:pt idx="82">
                  <c:v>2000.0</c:v>
                </c:pt>
                <c:pt idx="83">
                  <c:v>2000.0</c:v>
                </c:pt>
                <c:pt idx="84">
                  <c:v>2000.0</c:v>
                </c:pt>
                <c:pt idx="85">
                  <c:v>2002.0</c:v>
                </c:pt>
                <c:pt idx="86">
                  <c:v>2002.0</c:v>
                </c:pt>
                <c:pt idx="87">
                  <c:v>2003.0</c:v>
                </c:pt>
                <c:pt idx="88">
                  <c:v>2004.0</c:v>
                </c:pt>
                <c:pt idx="89">
                  <c:v>2008.0</c:v>
                </c:pt>
                <c:pt idx="90">
                  <c:v>2009.0</c:v>
                </c:pt>
                <c:pt idx="91">
                  <c:v>2009.0</c:v>
                </c:pt>
                <c:pt idx="92">
                  <c:v>2010.0</c:v>
                </c:pt>
                <c:pt idx="93">
                  <c:v>2011.0</c:v>
                </c:pt>
                <c:pt idx="94">
                  <c:v>2015.0</c:v>
                </c:pt>
                <c:pt idx="95">
                  <c:v>2019.0</c:v>
                </c:pt>
                <c:pt idx="96">
                  <c:v>2021.0</c:v>
                </c:pt>
                <c:pt idx="97">
                  <c:v>2026.0</c:v>
                </c:pt>
                <c:pt idx="98">
                  <c:v>2026.0</c:v>
                </c:pt>
                <c:pt idx="99">
                  <c:v>2027.0</c:v>
                </c:pt>
                <c:pt idx="100">
                  <c:v>2028.0</c:v>
                </c:pt>
                <c:pt idx="101">
                  <c:v>2030.0</c:v>
                </c:pt>
                <c:pt idx="102">
                  <c:v>2030.0</c:v>
                </c:pt>
                <c:pt idx="103">
                  <c:v>2035.0</c:v>
                </c:pt>
                <c:pt idx="104">
                  <c:v>2036.0</c:v>
                </c:pt>
                <c:pt idx="105">
                  <c:v>2041.0</c:v>
                </c:pt>
                <c:pt idx="106">
                  <c:v>2042.0</c:v>
                </c:pt>
                <c:pt idx="107">
                  <c:v>2043.0</c:v>
                </c:pt>
                <c:pt idx="108">
                  <c:v>2045.0</c:v>
                </c:pt>
                <c:pt idx="109">
                  <c:v>2046.0</c:v>
                </c:pt>
                <c:pt idx="110">
                  <c:v>2046.0</c:v>
                </c:pt>
                <c:pt idx="111">
                  <c:v>2048.0</c:v>
                </c:pt>
                <c:pt idx="112">
                  <c:v>2051.0</c:v>
                </c:pt>
                <c:pt idx="113">
                  <c:v>2051.0</c:v>
                </c:pt>
                <c:pt idx="114">
                  <c:v>2051.0</c:v>
                </c:pt>
                <c:pt idx="115">
                  <c:v>2059.0</c:v>
                </c:pt>
                <c:pt idx="116">
                  <c:v>2060.0</c:v>
                </c:pt>
                <c:pt idx="117">
                  <c:v>2066.0</c:v>
                </c:pt>
                <c:pt idx="118">
                  <c:v>2071.0</c:v>
                </c:pt>
                <c:pt idx="119">
                  <c:v>2073.0</c:v>
                </c:pt>
                <c:pt idx="120">
                  <c:v>2075.0</c:v>
                </c:pt>
                <c:pt idx="121">
                  <c:v>2077.0</c:v>
                </c:pt>
                <c:pt idx="122">
                  <c:v>2078.0</c:v>
                </c:pt>
                <c:pt idx="123">
                  <c:v>2082.0</c:v>
                </c:pt>
                <c:pt idx="124">
                  <c:v>2082.0</c:v>
                </c:pt>
                <c:pt idx="125">
                  <c:v>2092.0</c:v>
                </c:pt>
                <c:pt idx="126">
                  <c:v>2092.0</c:v>
                </c:pt>
                <c:pt idx="127">
                  <c:v>2092.0</c:v>
                </c:pt>
                <c:pt idx="128">
                  <c:v>2093.0</c:v>
                </c:pt>
                <c:pt idx="129">
                  <c:v>2093.0</c:v>
                </c:pt>
                <c:pt idx="130">
                  <c:v>2093.0</c:v>
                </c:pt>
                <c:pt idx="131">
                  <c:v>2100.0</c:v>
                </c:pt>
                <c:pt idx="132">
                  <c:v>2105.0</c:v>
                </c:pt>
                <c:pt idx="133">
                  <c:v>2107.0</c:v>
                </c:pt>
                <c:pt idx="134">
                  <c:v>2107.0</c:v>
                </c:pt>
                <c:pt idx="135">
                  <c:v>2108.0</c:v>
                </c:pt>
                <c:pt idx="136">
                  <c:v>2109.0</c:v>
                </c:pt>
                <c:pt idx="137">
                  <c:v>2109.0</c:v>
                </c:pt>
                <c:pt idx="138">
                  <c:v>2112.0</c:v>
                </c:pt>
                <c:pt idx="139">
                  <c:v>2115.0</c:v>
                </c:pt>
                <c:pt idx="140">
                  <c:v>2118.0</c:v>
                </c:pt>
                <c:pt idx="141">
                  <c:v>2121.0</c:v>
                </c:pt>
                <c:pt idx="142">
                  <c:v>2122.0</c:v>
                </c:pt>
                <c:pt idx="143">
                  <c:v>2126.0</c:v>
                </c:pt>
                <c:pt idx="144">
                  <c:v>2128.0</c:v>
                </c:pt>
                <c:pt idx="145">
                  <c:v>2130.0</c:v>
                </c:pt>
                <c:pt idx="146">
                  <c:v>2130.0</c:v>
                </c:pt>
                <c:pt idx="147">
                  <c:v>2135.0</c:v>
                </c:pt>
                <c:pt idx="148">
                  <c:v>2136.0</c:v>
                </c:pt>
                <c:pt idx="149">
                  <c:v>2136.0</c:v>
                </c:pt>
                <c:pt idx="150">
                  <c:v>2140.0</c:v>
                </c:pt>
                <c:pt idx="151">
                  <c:v>2142.0</c:v>
                </c:pt>
                <c:pt idx="152">
                  <c:v>2143.0</c:v>
                </c:pt>
                <c:pt idx="153">
                  <c:v>2145.0</c:v>
                </c:pt>
                <c:pt idx="154">
                  <c:v>2148.0</c:v>
                </c:pt>
                <c:pt idx="155">
                  <c:v>2149.0</c:v>
                </c:pt>
                <c:pt idx="156">
                  <c:v>2149.0</c:v>
                </c:pt>
                <c:pt idx="157">
                  <c:v>2152.0</c:v>
                </c:pt>
                <c:pt idx="158">
                  <c:v>2156.0</c:v>
                </c:pt>
                <c:pt idx="159">
                  <c:v>2158.0</c:v>
                </c:pt>
                <c:pt idx="160">
                  <c:v>2159.0</c:v>
                </c:pt>
                <c:pt idx="161">
                  <c:v>2162.0</c:v>
                </c:pt>
                <c:pt idx="162">
                  <c:v>2163.0</c:v>
                </c:pt>
                <c:pt idx="163">
                  <c:v>2163.0</c:v>
                </c:pt>
                <c:pt idx="164">
                  <c:v>2166.0</c:v>
                </c:pt>
                <c:pt idx="165">
                  <c:v>2173.0</c:v>
                </c:pt>
                <c:pt idx="166">
                  <c:v>2173.0</c:v>
                </c:pt>
                <c:pt idx="167">
                  <c:v>2175.0</c:v>
                </c:pt>
                <c:pt idx="168">
                  <c:v>2175.0</c:v>
                </c:pt>
                <c:pt idx="169">
                  <c:v>2175.0</c:v>
                </c:pt>
                <c:pt idx="170">
                  <c:v>2175.0</c:v>
                </c:pt>
                <c:pt idx="171">
                  <c:v>2176.0</c:v>
                </c:pt>
                <c:pt idx="172">
                  <c:v>2177.0</c:v>
                </c:pt>
                <c:pt idx="173">
                  <c:v>2179.0</c:v>
                </c:pt>
                <c:pt idx="174">
                  <c:v>2185.0</c:v>
                </c:pt>
                <c:pt idx="175">
                  <c:v>2187.0</c:v>
                </c:pt>
                <c:pt idx="176">
                  <c:v>2193.0</c:v>
                </c:pt>
                <c:pt idx="177">
                  <c:v>2196.0</c:v>
                </c:pt>
                <c:pt idx="178">
                  <c:v>2200.0</c:v>
                </c:pt>
                <c:pt idx="179">
                  <c:v>2203.0</c:v>
                </c:pt>
                <c:pt idx="180">
                  <c:v>2203.0</c:v>
                </c:pt>
                <c:pt idx="181">
                  <c:v>2203.0</c:v>
                </c:pt>
                <c:pt idx="182">
                  <c:v>2204.0</c:v>
                </c:pt>
                <c:pt idx="183">
                  <c:v>2206.0</c:v>
                </c:pt>
                <c:pt idx="184">
                  <c:v>2206.0</c:v>
                </c:pt>
                <c:pt idx="185">
                  <c:v>2207.0</c:v>
                </c:pt>
                <c:pt idx="186">
                  <c:v>2209.0</c:v>
                </c:pt>
                <c:pt idx="187">
                  <c:v>2213.0</c:v>
                </c:pt>
                <c:pt idx="188">
                  <c:v>2215.0</c:v>
                </c:pt>
                <c:pt idx="189">
                  <c:v>2216.0</c:v>
                </c:pt>
                <c:pt idx="190">
                  <c:v>2219.0</c:v>
                </c:pt>
                <c:pt idx="191">
                  <c:v>2219.0</c:v>
                </c:pt>
                <c:pt idx="192">
                  <c:v>2227.0</c:v>
                </c:pt>
                <c:pt idx="193">
                  <c:v>2233.0</c:v>
                </c:pt>
                <c:pt idx="194">
                  <c:v>2240.0</c:v>
                </c:pt>
                <c:pt idx="195">
                  <c:v>2240.0</c:v>
                </c:pt>
                <c:pt idx="196">
                  <c:v>2249.0</c:v>
                </c:pt>
                <c:pt idx="197">
                  <c:v>2249.0</c:v>
                </c:pt>
                <c:pt idx="198">
                  <c:v>2252.0</c:v>
                </c:pt>
                <c:pt idx="199">
                  <c:v>2257.0</c:v>
                </c:pt>
                <c:pt idx="200">
                  <c:v>2266.0</c:v>
                </c:pt>
                <c:pt idx="201">
                  <c:v>2279.0</c:v>
                </c:pt>
                <c:pt idx="202">
                  <c:v>2280.0</c:v>
                </c:pt>
                <c:pt idx="203">
                  <c:v>2287.0</c:v>
                </c:pt>
                <c:pt idx="204">
                  <c:v>2290.0</c:v>
                </c:pt>
                <c:pt idx="205">
                  <c:v>2302.0</c:v>
                </c:pt>
                <c:pt idx="206">
                  <c:v>2343.0</c:v>
                </c:pt>
                <c:pt idx="207">
                  <c:v>2353.0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4"/>
          <c:order val="4"/>
          <c:tx>
            <c:v>4 Cents actual</c:v>
          </c:tx>
          <c:spPr>
            <a:ln>
              <a:noFill/>
            </a:ln>
          </c:spPr>
          <c:marker>
            <c:symbol val="circle"/>
            <c:size val="5"/>
            <c:spPr>
              <a:solidFill>
                <a:srgbClr val="C00000"/>
              </a:solidFill>
              <a:ln>
                <a:solidFill>
                  <a:srgbClr val="C00000"/>
                </a:solidFill>
              </a:ln>
            </c:spPr>
          </c:marker>
          <c:xVal>
            <c:numRef>
              <c:f>'Fig6 Data'!$D$214</c:f>
              <c:numCache>
                <c:formatCode>General</c:formatCode>
                <c:ptCount val="1"/>
                <c:pt idx="0">
                  <c:v>2132.0</c:v>
                </c:pt>
              </c:numCache>
            </c:numRef>
          </c:xVal>
          <c:yVal>
            <c:numRef>
              <c:f>'Fig6 Data'!$C$188</c:f>
              <c:numCache>
                <c:formatCode>General</c:formatCode>
                <c:ptCount val="1"/>
                <c:pt idx="0">
                  <c:v>0.889423076923077</c:v>
                </c:pt>
              </c:numCache>
            </c:numRef>
          </c:yVal>
          <c:smooth val="1"/>
        </c:ser>
        <c:ser>
          <c:idx val="5"/>
          <c:order val="5"/>
          <c:tx>
            <c:v>Very Low Pay actual</c:v>
          </c:tx>
          <c:spPr>
            <a:ln>
              <a:noFill/>
            </a:ln>
          </c:spPr>
          <c:marker>
            <c:symbol val="circle"/>
            <c:size val="5"/>
            <c:spPr>
              <a:solidFill>
                <a:srgbClr val="C00000"/>
              </a:solidFill>
              <a:ln>
                <a:solidFill>
                  <a:srgbClr val="C00000"/>
                </a:solidFill>
              </a:ln>
            </c:spPr>
          </c:marker>
          <c:xVal>
            <c:numRef>
              <c:f>'Fig6 Data'!$E$214</c:f>
              <c:numCache>
                <c:formatCode>General</c:formatCode>
                <c:ptCount val="1"/>
                <c:pt idx="0">
                  <c:v>1883.0</c:v>
                </c:pt>
              </c:numCache>
            </c:numRef>
          </c:xVal>
          <c:yVal>
            <c:numRef>
              <c:f>'Fig6 Data'!$C$158</c:f>
              <c:numCache>
                <c:formatCode>General</c:formatCode>
                <c:ptCount val="1"/>
                <c:pt idx="0">
                  <c:v>0.745192307692308</c:v>
                </c:pt>
              </c:numCache>
            </c:numRef>
          </c:yVal>
          <c:smooth val="1"/>
        </c:ser>
        <c:ser>
          <c:idx val="6"/>
          <c:order val="6"/>
          <c:tx>
            <c:v>1 Cent for Charity actual</c:v>
          </c:tx>
          <c:spPr>
            <a:ln>
              <a:noFill/>
            </a:ln>
          </c:spPr>
          <c:marker>
            <c:symbol val="circle"/>
            <c:size val="5"/>
            <c:spPr>
              <a:solidFill>
                <a:srgbClr val="C00000"/>
              </a:solidFill>
              <a:ln>
                <a:solidFill>
                  <a:srgbClr val="C00000"/>
                </a:solidFill>
              </a:ln>
            </c:spPr>
          </c:marker>
          <c:xVal>
            <c:numRef>
              <c:f>'Fig6 Data'!$F$214</c:f>
              <c:numCache>
                <c:formatCode>General</c:formatCode>
                <c:ptCount val="1"/>
                <c:pt idx="0">
                  <c:v>1907.0</c:v>
                </c:pt>
              </c:numCache>
            </c:numRef>
          </c:xVal>
          <c:yVal>
            <c:numRef>
              <c:f>'Fig6 Data'!$C$101</c:f>
              <c:numCache>
                <c:formatCode>General</c:formatCode>
                <c:ptCount val="1"/>
                <c:pt idx="0">
                  <c:v>0.471153846153846</c:v>
                </c:pt>
              </c:numCache>
            </c:numRef>
          </c:yVal>
          <c:smooth val="1"/>
        </c:ser>
        <c:ser>
          <c:idx val="7"/>
          <c:order val="7"/>
          <c:tx>
            <c:v>Actual Effort Levels</c:v>
          </c:tx>
          <c:spPr>
            <a:ln>
              <a:noFill/>
            </a:ln>
          </c:spPr>
          <c:marker>
            <c:symbol val="circle"/>
            <c:size val="5"/>
            <c:spPr>
              <a:solidFill>
                <a:srgbClr val="C00000"/>
              </a:solidFill>
              <a:ln>
                <a:solidFill>
                  <a:srgbClr val="C00000"/>
                </a:solidFill>
              </a:ln>
            </c:spPr>
          </c:marker>
          <c:xVal>
            <c:numRef>
              <c:f>'Fig6 Data'!$G$214</c:f>
              <c:numCache>
                <c:formatCode>General</c:formatCode>
                <c:ptCount val="1"/>
                <c:pt idx="0">
                  <c:v>1918.0</c:v>
                </c:pt>
              </c:numCache>
            </c:numRef>
          </c:xVal>
          <c:yVal>
            <c:numRef>
              <c:f>'Fig6 Data'!$C$73</c:f>
              <c:numCache>
                <c:formatCode>General</c:formatCode>
                <c:ptCount val="1"/>
                <c:pt idx="0">
                  <c:v>0.336538461538462</c:v>
                </c:pt>
              </c:numCache>
            </c:numRef>
          </c:yVal>
          <c:smooth val="1"/>
        </c:ser>
        <c:ser>
          <c:idx val="8"/>
          <c:order val="8"/>
          <c:tx>
            <c:v>20th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Data'!$AA$4:$AA$211</c:f>
              <c:numCache>
                <c:formatCode>0.00</c:formatCode>
                <c:ptCount val="208"/>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0.2</c:v>
                </c:pt>
                <c:pt idx="49">
                  <c:v>0.2</c:v>
                </c:pt>
                <c:pt idx="50">
                  <c:v>0.2</c:v>
                </c:pt>
                <c:pt idx="51">
                  <c:v>0.2</c:v>
                </c:pt>
                <c:pt idx="52">
                  <c:v>0.2</c:v>
                </c:pt>
                <c:pt idx="53">
                  <c:v>0.2</c:v>
                </c:pt>
                <c:pt idx="54">
                  <c:v>0.2</c:v>
                </c:pt>
                <c:pt idx="55">
                  <c:v>0.2</c:v>
                </c:pt>
                <c:pt idx="56">
                  <c:v>0.2</c:v>
                </c:pt>
                <c:pt idx="57">
                  <c:v>0.2</c:v>
                </c:pt>
                <c:pt idx="58">
                  <c:v>0.2</c:v>
                </c:pt>
                <c:pt idx="59">
                  <c:v>0.2</c:v>
                </c:pt>
                <c:pt idx="60">
                  <c:v>0.2</c:v>
                </c:pt>
                <c:pt idx="61">
                  <c:v>0.2</c:v>
                </c:pt>
                <c:pt idx="62">
                  <c:v>0.2</c:v>
                </c:pt>
                <c:pt idx="63">
                  <c:v>0.2</c:v>
                </c:pt>
                <c:pt idx="64">
                  <c:v>0.2</c:v>
                </c:pt>
                <c:pt idx="65">
                  <c:v>0.2</c:v>
                </c:pt>
                <c:pt idx="66">
                  <c:v>0.2</c:v>
                </c:pt>
                <c:pt idx="67">
                  <c:v>0.2</c:v>
                </c:pt>
                <c:pt idx="68">
                  <c:v>0.2</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0.2</c:v>
                </c:pt>
                <c:pt idx="85">
                  <c:v>0.2</c:v>
                </c:pt>
                <c:pt idx="86">
                  <c:v>0.2</c:v>
                </c:pt>
                <c:pt idx="87">
                  <c:v>0.2</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0.2</c:v>
                </c:pt>
                <c:pt idx="105">
                  <c:v>0.2</c:v>
                </c:pt>
                <c:pt idx="106">
                  <c:v>0.2</c:v>
                </c:pt>
                <c:pt idx="107">
                  <c:v>0.2</c:v>
                </c:pt>
                <c:pt idx="108">
                  <c:v>0.2</c:v>
                </c:pt>
                <c:pt idx="109">
                  <c:v>0.2</c:v>
                </c:pt>
                <c:pt idx="110">
                  <c:v>0.2</c:v>
                </c:pt>
                <c:pt idx="111">
                  <c:v>0.2</c:v>
                </c:pt>
                <c:pt idx="112">
                  <c:v>0.2</c:v>
                </c:pt>
                <c:pt idx="113">
                  <c:v>0.2</c:v>
                </c:pt>
                <c:pt idx="114">
                  <c:v>0.2</c:v>
                </c:pt>
                <c:pt idx="115">
                  <c:v>0.2</c:v>
                </c:pt>
                <c:pt idx="116">
                  <c:v>0.2</c:v>
                </c:pt>
                <c:pt idx="117">
                  <c:v>0.2</c:v>
                </c:pt>
                <c:pt idx="118">
                  <c:v>0.2</c:v>
                </c:pt>
                <c:pt idx="119">
                  <c:v>0.2</c:v>
                </c:pt>
                <c:pt idx="120">
                  <c:v>0.2</c:v>
                </c:pt>
                <c:pt idx="121">
                  <c:v>0.2</c:v>
                </c:pt>
                <c:pt idx="122">
                  <c:v>0.2</c:v>
                </c:pt>
                <c:pt idx="123">
                  <c:v>0.2</c:v>
                </c:pt>
                <c:pt idx="124">
                  <c:v>0.2</c:v>
                </c:pt>
                <c:pt idx="125">
                  <c:v>0.2</c:v>
                </c:pt>
                <c:pt idx="126">
                  <c:v>0.2</c:v>
                </c:pt>
                <c:pt idx="127">
                  <c:v>0.2</c:v>
                </c:pt>
                <c:pt idx="128">
                  <c:v>0.2</c:v>
                </c:pt>
                <c:pt idx="129">
                  <c:v>0.2</c:v>
                </c:pt>
                <c:pt idx="130">
                  <c:v>0.2</c:v>
                </c:pt>
                <c:pt idx="131">
                  <c:v>0.2</c:v>
                </c:pt>
                <c:pt idx="132">
                  <c:v>0.2</c:v>
                </c:pt>
                <c:pt idx="133">
                  <c:v>0.2</c:v>
                </c:pt>
                <c:pt idx="134">
                  <c:v>0.2</c:v>
                </c:pt>
                <c:pt idx="135">
                  <c:v>0.2</c:v>
                </c:pt>
                <c:pt idx="136">
                  <c:v>0.2</c:v>
                </c:pt>
                <c:pt idx="137">
                  <c:v>0.2</c:v>
                </c:pt>
                <c:pt idx="138">
                  <c:v>0.2</c:v>
                </c:pt>
                <c:pt idx="139">
                  <c:v>0.2</c:v>
                </c:pt>
                <c:pt idx="140">
                  <c:v>0.2</c:v>
                </c:pt>
                <c:pt idx="141">
                  <c:v>0.2</c:v>
                </c:pt>
                <c:pt idx="142">
                  <c:v>0.2</c:v>
                </c:pt>
                <c:pt idx="143">
                  <c:v>0.2</c:v>
                </c:pt>
                <c:pt idx="144">
                  <c:v>0.2</c:v>
                </c:pt>
                <c:pt idx="145">
                  <c:v>0.2</c:v>
                </c:pt>
                <c:pt idx="146">
                  <c:v>0.2</c:v>
                </c:pt>
                <c:pt idx="147">
                  <c:v>0.2</c:v>
                </c:pt>
                <c:pt idx="148">
                  <c:v>0.2</c:v>
                </c:pt>
                <c:pt idx="149">
                  <c:v>0.2</c:v>
                </c:pt>
                <c:pt idx="150">
                  <c:v>0.2</c:v>
                </c:pt>
                <c:pt idx="151">
                  <c:v>0.2</c:v>
                </c:pt>
                <c:pt idx="152">
                  <c:v>0.2</c:v>
                </c:pt>
                <c:pt idx="153">
                  <c:v>0.2</c:v>
                </c:pt>
                <c:pt idx="154">
                  <c:v>0.2</c:v>
                </c:pt>
                <c:pt idx="155">
                  <c:v>0.2</c:v>
                </c:pt>
                <c:pt idx="156">
                  <c:v>0.2</c:v>
                </c:pt>
                <c:pt idx="157">
                  <c:v>0.2</c:v>
                </c:pt>
                <c:pt idx="158">
                  <c:v>0.2</c:v>
                </c:pt>
                <c:pt idx="159">
                  <c:v>0.2</c:v>
                </c:pt>
                <c:pt idx="160">
                  <c:v>0.2</c:v>
                </c:pt>
                <c:pt idx="161">
                  <c:v>0.2</c:v>
                </c:pt>
                <c:pt idx="162">
                  <c:v>0.2</c:v>
                </c:pt>
                <c:pt idx="163">
                  <c:v>0.2</c:v>
                </c:pt>
                <c:pt idx="164">
                  <c:v>0.2</c:v>
                </c:pt>
                <c:pt idx="165">
                  <c:v>0.2</c:v>
                </c:pt>
                <c:pt idx="166">
                  <c:v>0.2</c:v>
                </c:pt>
                <c:pt idx="167">
                  <c:v>0.2</c:v>
                </c:pt>
                <c:pt idx="168">
                  <c:v>0.2</c:v>
                </c:pt>
                <c:pt idx="169">
                  <c:v>0.2</c:v>
                </c:pt>
                <c:pt idx="170">
                  <c:v>0.2</c:v>
                </c:pt>
                <c:pt idx="171">
                  <c:v>0.2</c:v>
                </c:pt>
                <c:pt idx="172">
                  <c:v>0.2</c:v>
                </c:pt>
                <c:pt idx="173">
                  <c:v>0.2</c:v>
                </c:pt>
                <c:pt idx="174">
                  <c:v>0.2</c:v>
                </c:pt>
                <c:pt idx="175">
                  <c:v>0.2</c:v>
                </c:pt>
                <c:pt idx="176">
                  <c:v>0.2</c:v>
                </c:pt>
                <c:pt idx="177">
                  <c:v>0.2</c:v>
                </c:pt>
                <c:pt idx="178">
                  <c:v>0.2</c:v>
                </c:pt>
                <c:pt idx="179">
                  <c:v>0.2</c:v>
                </c:pt>
                <c:pt idx="180">
                  <c:v>0.2</c:v>
                </c:pt>
                <c:pt idx="181">
                  <c:v>0.2</c:v>
                </c:pt>
                <c:pt idx="182">
                  <c:v>0.2</c:v>
                </c:pt>
                <c:pt idx="183">
                  <c:v>0.2</c:v>
                </c:pt>
                <c:pt idx="184">
                  <c:v>0.2</c:v>
                </c:pt>
                <c:pt idx="185">
                  <c:v>0.2</c:v>
                </c:pt>
                <c:pt idx="186">
                  <c:v>0.2</c:v>
                </c:pt>
                <c:pt idx="187">
                  <c:v>0.2</c:v>
                </c:pt>
                <c:pt idx="188">
                  <c:v>0.2</c:v>
                </c:pt>
                <c:pt idx="189">
                  <c:v>0.2</c:v>
                </c:pt>
                <c:pt idx="190">
                  <c:v>0.2</c:v>
                </c:pt>
                <c:pt idx="191">
                  <c:v>0.2</c:v>
                </c:pt>
                <c:pt idx="192">
                  <c:v>0.2</c:v>
                </c:pt>
                <c:pt idx="193">
                  <c:v>0.2</c:v>
                </c:pt>
                <c:pt idx="194">
                  <c:v>0.2</c:v>
                </c:pt>
                <c:pt idx="195">
                  <c:v>0.2</c:v>
                </c:pt>
                <c:pt idx="196">
                  <c:v>0.2</c:v>
                </c:pt>
                <c:pt idx="197">
                  <c:v>0.2</c:v>
                </c:pt>
                <c:pt idx="198">
                  <c:v>0.2</c:v>
                </c:pt>
                <c:pt idx="199">
                  <c:v>0.2</c:v>
                </c:pt>
                <c:pt idx="200">
                  <c:v>0.2</c:v>
                </c:pt>
                <c:pt idx="201">
                  <c:v>0.2</c:v>
                </c:pt>
                <c:pt idx="202">
                  <c:v>0.2</c:v>
                </c:pt>
                <c:pt idx="203">
                  <c:v>0.2</c:v>
                </c:pt>
                <c:pt idx="204">
                  <c:v>0.2</c:v>
                </c:pt>
                <c:pt idx="205">
                  <c:v>0.2</c:v>
                </c:pt>
                <c:pt idx="206">
                  <c:v>0.2</c:v>
                </c:pt>
                <c:pt idx="207">
                  <c:v>0.2</c:v>
                </c:pt>
              </c:numCache>
            </c:numRef>
          </c:yVal>
          <c:smooth val="1"/>
        </c:ser>
        <c:ser>
          <c:idx val="9"/>
          <c:order val="9"/>
          <c:tx>
            <c:v>Median</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Data'!$AB$4:$AB$211</c:f>
              <c:numCache>
                <c:formatCode>0.00</c:formatCode>
                <c:ptCount val="208"/>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numCache>
            </c:numRef>
          </c:yVal>
          <c:smooth val="1"/>
        </c:ser>
        <c:ser>
          <c:idx val="10"/>
          <c:order val="10"/>
          <c:tx>
            <c:v>80th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Data'!$AC$4:$AC$211</c:f>
              <c:numCache>
                <c:formatCode>0.00</c:formatCode>
                <c:ptCount val="208"/>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pt idx="32">
                  <c:v>0.8</c:v>
                </c:pt>
                <c:pt idx="33">
                  <c:v>0.8</c:v>
                </c:pt>
                <c:pt idx="34">
                  <c:v>0.8</c:v>
                </c:pt>
                <c:pt idx="35">
                  <c:v>0.8</c:v>
                </c:pt>
                <c:pt idx="36">
                  <c:v>0.8</c:v>
                </c:pt>
                <c:pt idx="37">
                  <c:v>0.8</c:v>
                </c:pt>
                <c:pt idx="38">
                  <c:v>0.8</c:v>
                </c:pt>
                <c:pt idx="39">
                  <c:v>0.8</c:v>
                </c:pt>
                <c:pt idx="40">
                  <c:v>0.8</c:v>
                </c:pt>
                <c:pt idx="41">
                  <c:v>0.8</c:v>
                </c:pt>
                <c:pt idx="42">
                  <c:v>0.8</c:v>
                </c:pt>
                <c:pt idx="43">
                  <c:v>0.8</c:v>
                </c:pt>
                <c:pt idx="44">
                  <c:v>0.8</c:v>
                </c:pt>
                <c:pt idx="45">
                  <c:v>0.8</c:v>
                </c:pt>
                <c:pt idx="46">
                  <c:v>0.8</c:v>
                </c:pt>
                <c:pt idx="47">
                  <c:v>0.8</c:v>
                </c:pt>
                <c:pt idx="48">
                  <c:v>0.8</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c:v>
                </c:pt>
                <c:pt idx="70">
                  <c:v>0.8</c:v>
                </c:pt>
                <c:pt idx="71">
                  <c:v>0.8</c:v>
                </c:pt>
                <c:pt idx="72">
                  <c:v>0.8</c:v>
                </c:pt>
                <c:pt idx="73">
                  <c:v>0.8</c:v>
                </c:pt>
                <c:pt idx="74">
                  <c:v>0.8</c:v>
                </c:pt>
                <c:pt idx="75">
                  <c:v>0.8</c:v>
                </c:pt>
                <c:pt idx="76">
                  <c:v>0.8</c:v>
                </c:pt>
                <c:pt idx="77">
                  <c:v>0.8</c:v>
                </c:pt>
                <c:pt idx="78">
                  <c:v>0.8</c:v>
                </c:pt>
                <c:pt idx="79">
                  <c:v>0.8</c:v>
                </c:pt>
                <c:pt idx="80">
                  <c:v>0.8</c:v>
                </c:pt>
                <c:pt idx="81">
                  <c:v>0.8</c:v>
                </c:pt>
                <c:pt idx="82">
                  <c:v>0.8</c:v>
                </c:pt>
                <c:pt idx="83">
                  <c:v>0.8</c:v>
                </c:pt>
                <c:pt idx="84">
                  <c:v>0.8</c:v>
                </c:pt>
                <c:pt idx="85">
                  <c:v>0.8</c:v>
                </c:pt>
                <c:pt idx="86">
                  <c:v>0.8</c:v>
                </c:pt>
                <c:pt idx="87">
                  <c:v>0.8</c:v>
                </c:pt>
                <c:pt idx="88">
                  <c:v>0.8</c:v>
                </c:pt>
                <c:pt idx="89">
                  <c:v>0.8</c:v>
                </c:pt>
                <c:pt idx="90">
                  <c:v>0.8</c:v>
                </c:pt>
                <c:pt idx="91">
                  <c:v>0.8</c:v>
                </c:pt>
                <c:pt idx="92">
                  <c:v>0.8</c:v>
                </c:pt>
                <c:pt idx="93">
                  <c:v>0.8</c:v>
                </c:pt>
                <c:pt idx="94">
                  <c:v>0.8</c:v>
                </c:pt>
                <c:pt idx="95">
                  <c:v>0.8</c:v>
                </c:pt>
                <c:pt idx="96">
                  <c:v>0.8</c:v>
                </c:pt>
                <c:pt idx="97">
                  <c:v>0.8</c:v>
                </c:pt>
                <c:pt idx="98">
                  <c:v>0.8</c:v>
                </c:pt>
                <c:pt idx="99">
                  <c:v>0.8</c:v>
                </c:pt>
                <c:pt idx="100">
                  <c:v>0.8</c:v>
                </c:pt>
                <c:pt idx="101">
                  <c:v>0.8</c:v>
                </c:pt>
                <c:pt idx="102">
                  <c:v>0.8</c:v>
                </c:pt>
                <c:pt idx="103">
                  <c:v>0.8</c:v>
                </c:pt>
                <c:pt idx="104">
                  <c:v>0.8</c:v>
                </c:pt>
                <c:pt idx="105">
                  <c:v>0.8</c:v>
                </c:pt>
                <c:pt idx="106">
                  <c:v>0.8</c:v>
                </c:pt>
                <c:pt idx="107">
                  <c:v>0.8</c:v>
                </c:pt>
                <c:pt idx="108">
                  <c:v>0.8</c:v>
                </c:pt>
                <c:pt idx="109">
                  <c:v>0.8</c:v>
                </c:pt>
                <c:pt idx="110">
                  <c:v>0.8</c:v>
                </c:pt>
                <c:pt idx="111">
                  <c:v>0.8</c:v>
                </c:pt>
                <c:pt idx="112">
                  <c:v>0.8</c:v>
                </c:pt>
                <c:pt idx="113">
                  <c:v>0.8</c:v>
                </c:pt>
                <c:pt idx="114">
                  <c:v>0.8</c:v>
                </c:pt>
                <c:pt idx="115">
                  <c:v>0.8</c:v>
                </c:pt>
                <c:pt idx="116">
                  <c:v>0.8</c:v>
                </c:pt>
                <c:pt idx="117">
                  <c:v>0.8</c:v>
                </c:pt>
                <c:pt idx="118">
                  <c:v>0.8</c:v>
                </c:pt>
                <c:pt idx="119">
                  <c:v>0.8</c:v>
                </c:pt>
                <c:pt idx="120">
                  <c:v>0.8</c:v>
                </c:pt>
                <c:pt idx="121">
                  <c:v>0.8</c:v>
                </c:pt>
                <c:pt idx="122">
                  <c:v>0.8</c:v>
                </c:pt>
                <c:pt idx="123">
                  <c:v>0.8</c:v>
                </c:pt>
                <c:pt idx="124">
                  <c:v>0.8</c:v>
                </c:pt>
                <c:pt idx="125">
                  <c:v>0.8</c:v>
                </c:pt>
                <c:pt idx="126">
                  <c:v>0.8</c:v>
                </c:pt>
                <c:pt idx="127">
                  <c:v>0.8</c:v>
                </c:pt>
                <c:pt idx="128">
                  <c:v>0.8</c:v>
                </c:pt>
                <c:pt idx="129">
                  <c:v>0.8</c:v>
                </c:pt>
                <c:pt idx="130">
                  <c:v>0.8</c:v>
                </c:pt>
                <c:pt idx="131">
                  <c:v>0.8</c:v>
                </c:pt>
                <c:pt idx="132">
                  <c:v>0.8</c:v>
                </c:pt>
                <c:pt idx="133">
                  <c:v>0.8</c:v>
                </c:pt>
                <c:pt idx="134">
                  <c:v>0.8</c:v>
                </c:pt>
                <c:pt idx="135">
                  <c:v>0.8</c:v>
                </c:pt>
                <c:pt idx="136">
                  <c:v>0.8</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pt idx="150">
                  <c:v>0.8</c:v>
                </c:pt>
                <c:pt idx="151">
                  <c:v>0.8</c:v>
                </c:pt>
                <c:pt idx="152">
                  <c:v>0.8</c:v>
                </c:pt>
                <c:pt idx="153">
                  <c:v>0.8</c:v>
                </c:pt>
                <c:pt idx="154">
                  <c:v>0.8</c:v>
                </c:pt>
                <c:pt idx="155">
                  <c:v>0.8</c:v>
                </c:pt>
                <c:pt idx="156">
                  <c:v>0.8</c:v>
                </c:pt>
                <c:pt idx="157">
                  <c:v>0.8</c:v>
                </c:pt>
                <c:pt idx="158">
                  <c:v>0.8</c:v>
                </c:pt>
                <c:pt idx="159">
                  <c:v>0.8</c:v>
                </c:pt>
                <c:pt idx="160">
                  <c:v>0.8</c:v>
                </c:pt>
                <c:pt idx="161">
                  <c:v>0.8</c:v>
                </c:pt>
                <c:pt idx="162">
                  <c:v>0.8</c:v>
                </c:pt>
                <c:pt idx="163">
                  <c:v>0.8</c:v>
                </c:pt>
                <c:pt idx="164">
                  <c:v>0.8</c:v>
                </c:pt>
                <c:pt idx="165">
                  <c:v>0.8</c:v>
                </c:pt>
                <c:pt idx="166">
                  <c:v>0.8</c:v>
                </c:pt>
                <c:pt idx="167">
                  <c:v>0.8</c:v>
                </c:pt>
                <c:pt idx="168">
                  <c:v>0.8</c:v>
                </c:pt>
                <c:pt idx="169">
                  <c:v>0.8</c:v>
                </c:pt>
                <c:pt idx="170">
                  <c:v>0.8</c:v>
                </c:pt>
                <c:pt idx="171">
                  <c:v>0.8</c:v>
                </c:pt>
                <c:pt idx="172">
                  <c:v>0.8</c:v>
                </c:pt>
                <c:pt idx="173">
                  <c:v>0.8</c:v>
                </c:pt>
                <c:pt idx="174">
                  <c:v>0.8</c:v>
                </c:pt>
                <c:pt idx="175">
                  <c:v>0.8</c:v>
                </c:pt>
                <c:pt idx="176">
                  <c:v>0.8</c:v>
                </c:pt>
                <c:pt idx="177">
                  <c:v>0.8</c:v>
                </c:pt>
                <c:pt idx="178">
                  <c:v>0.8</c:v>
                </c:pt>
                <c:pt idx="179">
                  <c:v>0.8</c:v>
                </c:pt>
                <c:pt idx="180">
                  <c:v>0.8</c:v>
                </c:pt>
                <c:pt idx="181">
                  <c:v>0.8</c:v>
                </c:pt>
                <c:pt idx="182">
                  <c:v>0.8</c:v>
                </c:pt>
                <c:pt idx="183">
                  <c:v>0.8</c:v>
                </c:pt>
                <c:pt idx="184">
                  <c:v>0.8</c:v>
                </c:pt>
                <c:pt idx="185">
                  <c:v>0.8</c:v>
                </c:pt>
                <c:pt idx="186">
                  <c:v>0.8</c:v>
                </c:pt>
                <c:pt idx="187">
                  <c:v>0.8</c:v>
                </c:pt>
                <c:pt idx="188">
                  <c:v>0.8</c:v>
                </c:pt>
                <c:pt idx="189">
                  <c:v>0.8</c:v>
                </c:pt>
                <c:pt idx="190">
                  <c:v>0.8</c:v>
                </c:pt>
                <c:pt idx="191">
                  <c:v>0.8</c:v>
                </c:pt>
                <c:pt idx="192">
                  <c:v>0.8</c:v>
                </c:pt>
                <c:pt idx="193">
                  <c:v>0.8</c:v>
                </c:pt>
                <c:pt idx="194">
                  <c:v>0.8</c:v>
                </c:pt>
                <c:pt idx="195">
                  <c:v>0.8</c:v>
                </c:pt>
                <c:pt idx="196">
                  <c:v>0.8</c:v>
                </c:pt>
                <c:pt idx="197">
                  <c:v>0.8</c:v>
                </c:pt>
                <c:pt idx="198">
                  <c:v>0.8</c:v>
                </c:pt>
                <c:pt idx="199">
                  <c:v>0.8</c:v>
                </c:pt>
                <c:pt idx="200">
                  <c:v>0.8</c:v>
                </c:pt>
                <c:pt idx="201">
                  <c:v>0.8</c:v>
                </c:pt>
                <c:pt idx="202">
                  <c:v>0.8</c:v>
                </c:pt>
                <c:pt idx="203">
                  <c:v>0.8</c:v>
                </c:pt>
                <c:pt idx="204">
                  <c:v>0.8</c:v>
                </c:pt>
                <c:pt idx="205">
                  <c:v>0.8</c:v>
                </c:pt>
                <c:pt idx="206">
                  <c:v>0.8</c:v>
                </c:pt>
                <c:pt idx="207">
                  <c:v>0.8</c:v>
                </c:pt>
              </c:numCache>
            </c:numRef>
          </c:yVal>
          <c:smooth val="1"/>
        </c:ser>
        <c:ser>
          <c:idx val="11"/>
          <c:order val="11"/>
          <c:tx>
            <c:v>Benchmark (no pay)</c:v>
          </c:tx>
          <c:spPr>
            <a:ln w="15875">
              <a:solidFill>
                <a:srgbClr val="C00000"/>
              </a:solidFill>
            </a:ln>
          </c:spPr>
          <c:marker>
            <c:symbol val="none"/>
          </c:marker>
          <c:xVal>
            <c:numRef>
              <c:f>'Fig6 Data'!$W$4:$W$211</c:f>
              <c:numCache>
                <c:formatCode>General</c:formatCode>
                <c:ptCount val="208"/>
                <c:pt idx="0">
                  <c:v>1521.0</c:v>
                </c:pt>
                <c:pt idx="1">
                  <c:v>1521.0</c:v>
                </c:pt>
                <c:pt idx="2">
                  <c:v>1521.0</c:v>
                </c:pt>
                <c:pt idx="3">
                  <c:v>1521.0</c:v>
                </c:pt>
                <c:pt idx="4">
                  <c:v>1521.0</c:v>
                </c:pt>
                <c:pt idx="5">
                  <c:v>1521.0</c:v>
                </c:pt>
                <c:pt idx="6">
                  <c:v>1521.0</c:v>
                </c:pt>
                <c:pt idx="7">
                  <c:v>1521.0</c:v>
                </c:pt>
                <c:pt idx="8">
                  <c:v>1521.0</c:v>
                </c:pt>
                <c:pt idx="9">
                  <c:v>1521.0</c:v>
                </c:pt>
                <c:pt idx="10">
                  <c:v>1521.0</c:v>
                </c:pt>
                <c:pt idx="11">
                  <c:v>1521.0</c:v>
                </c:pt>
                <c:pt idx="12">
                  <c:v>1521.0</c:v>
                </c:pt>
                <c:pt idx="13">
                  <c:v>1521.0</c:v>
                </c:pt>
                <c:pt idx="14">
                  <c:v>1521.0</c:v>
                </c:pt>
                <c:pt idx="15">
                  <c:v>1521.0</c:v>
                </c:pt>
                <c:pt idx="16">
                  <c:v>1521.0</c:v>
                </c:pt>
                <c:pt idx="17">
                  <c:v>1521.0</c:v>
                </c:pt>
                <c:pt idx="18">
                  <c:v>1521.0</c:v>
                </c:pt>
                <c:pt idx="19">
                  <c:v>1521.0</c:v>
                </c:pt>
                <c:pt idx="20">
                  <c:v>1521.0</c:v>
                </c:pt>
                <c:pt idx="21">
                  <c:v>1521.0</c:v>
                </c:pt>
                <c:pt idx="22">
                  <c:v>1521.0</c:v>
                </c:pt>
                <c:pt idx="23">
                  <c:v>1521.0</c:v>
                </c:pt>
                <c:pt idx="24">
                  <c:v>1521.0</c:v>
                </c:pt>
                <c:pt idx="25">
                  <c:v>1521.0</c:v>
                </c:pt>
                <c:pt idx="26">
                  <c:v>1521.0</c:v>
                </c:pt>
                <c:pt idx="27">
                  <c:v>1521.0</c:v>
                </c:pt>
                <c:pt idx="28">
                  <c:v>1521.0</c:v>
                </c:pt>
                <c:pt idx="29">
                  <c:v>1521.0</c:v>
                </c:pt>
                <c:pt idx="30">
                  <c:v>1521.0</c:v>
                </c:pt>
                <c:pt idx="31">
                  <c:v>1521.0</c:v>
                </c:pt>
                <c:pt idx="32">
                  <c:v>1521.0</c:v>
                </c:pt>
                <c:pt idx="33">
                  <c:v>1521.0</c:v>
                </c:pt>
                <c:pt idx="34">
                  <c:v>1521.0</c:v>
                </c:pt>
                <c:pt idx="35">
                  <c:v>1521.0</c:v>
                </c:pt>
                <c:pt idx="36">
                  <c:v>1521.0</c:v>
                </c:pt>
                <c:pt idx="37">
                  <c:v>1521.0</c:v>
                </c:pt>
                <c:pt idx="38">
                  <c:v>1521.0</c:v>
                </c:pt>
                <c:pt idx="39">
                  <c:v>1521.0</c:v>
                </c:pt>
                <c:pt idx="40">
                  <c:v>1521.0</c:v>
                </c:pt>
                <c:pt idx="41">
                  <c:v>1521.0</c:v>
                </c:pt>
                <c:pt idx="42">
                  <c:v>1521.0</c:v>
                </c:pt>
                <c:pt idx="43">
                  <c:v>1521.0</c:v>
                </c:pt>
                <c:pt idx="44">
                  <c:v>1521.0</c:v>
                </c:pt>
                <c:pt idx="45">
                  <c:v>1521.0</c:v>
                </c:pt>
                <c:pt idx="46">
                  <c:v>1521.0</c:v>
                </c:pt>
                <c:pt idx="47">
                  <c:v>1521.0</c:v>
                </c:pt>
                <c:pt idx="48">
                  <c:v>1521.0</c:v>
                </c:pt>
                <c:pt idx="49">
                  <c:v>1521.0</c:v>
                </c:pt>
                <c:pt idx="50">
                  <c:v>1521.0</c:v>
                </c:pt>
                <c:pt idx="51">
                  <c:v>1521.0</c:v>
                </c:pt>
                <c:pt idx="52">
                  <c:v>1521.0</c:v>
                </c:pt>
                <c:pt idx="53">
                  <c:v>1521.0</c:v>
                </c:pt>
                <c:pt idx="54">
                  <c:v>1521.0</c:v>
                </c:pt>
                <c:pt idx="55">
                  <c:v>1521.0</c:v>
                </c:pt>
                <c:pt idx="56">
                  <c:v>1521.0</c:v>
                </c:pt>
                <c:pt idx="57">
                  <c:v>1521.0</c:v>
                </c:pt>
                <c:pt idx="58">
                  <c:v>1521.0</c:v>
                </c:pt>
                <c:pt idx="59">
                  <c:v>1521.0</c:v>
                </c:pt>
                <c:pt idx="60">
                  <c:v>1521.0</c:v>
                </c:pt>
                <c:pt idx="61">
                  <c:v>1521.0</c:v>
                </c:pt>
                <c:pt idx="62">
                  <c:v>1521.0</c:v>
                </c:pt>
                <c:pt idx="63">
                  <c:v>1521.0</c:v>
                </c:pt>
                <c:pt idx="64">
                  <c:v>1521.0</c:v>
                </c:pt>
                <c:pt idx="65">
                  <c:v>1521.0</c:v>
                </c:pt>
                <c:pt idx="66">
                  <c:v>1521.0</c:v>
                </c:pt>
                <c:pt idx="67">
                  <c:v>1521.0</c:v>
                </c:pt>
                <c:pt idx="68">
                  <c:v>1521.0</c:v>
                </c:pt>
                <c:pt idx="69">
                  <c:v>1521.0</c:v>
                </c:pt>
                <c:pt idx="70">
                  <c:v>1521.0</c:v>
                </c:pt>
                <c:pt idx="71">
                  <c:v>1521.0</c:v>
                </c:pt>
                <c:pt idx="72">
                  <c:v>1521.0</c:v>
                </c:pt>
                <c:pt idx="73">
                  <c:v>1521.0</c:v>
                </c:pt>
                <c:pt idx="74">
                  <c:v>1521.0</c:v>
                </c:pt>
                <c:pt idx="75">
                  <c:v>1521.0</c:v>
                </c:pt>
                <c:pt idx="76">
                  <c:v>1521.0</c:v>
                </c:pt>
                <c:pt idx="77">
                  <c:v>1521.0</c:v>
                </c:pt>
                <c:pt idx="78">
                  <c:v>1521.0</c:v>
                </c:pt>
                <c:pt idx="79">
                  <c:v>1521.0</c:v>
                </c:pt>
                <c:pt idx="80">
                  <c:v>1521.0</c:v>
                </c:pt>
                <c:pt idx="81">
                  <c:v>1521.0</c:v>
                </c:pt>
                <c:pt idx="82">
                  <c:v>1521.0</c:v>
                </c:pt>
                <c:pt idx="83">
                  <c:v>1521.0</c:v>
                </c:pt>
                <c:pt idx="84">
                  <c:v>1521.0</c:v>
                </c:pt>
                <c:pt idx="85">
                  <c:v>1521.0</c:v>
                </c:pt>
                <c:pt idx="86">
                  <c:v>1521.0</c:v>
                </c:pt>
                <c:pt idx="87">
                  <c:v>1521.0</c:v>
                </c:pt>
                <c:pt idx="88">
                  <c:v>1521.0</c:v>
                </c:pt>
                <c:pt idx="89">
                  <c:v>1521.0</c:v>
                </c:pt>
                <c:pt idx="90">
                  <c:v>1521.0</c:v>
                </c:pt>
                <c:pt idx="91">
                  <c:v>1521.0</c:v>
                </c:pt>
                <c:pt idx="92">
                  <c:v>1521.0</c:v>
                </c:pt>
                <c:pt idx="93">
                  <c:v>1521.0</c:v>
                </c:pt>
                <c:pt idx="94">
                  <c:v>1521.0</c:v>
                </c:pt>
                <c:pt idx="95">
                  <c:v>1521.0</c:v>
                </c:pt>
                <c:pt idx="96">
                  <c:v>1521.0</c:v>
                </c:pt>
                <c:pt idx="97">
                  <c:v>1521.0</c:v>
                </c:pt>
                <c:pt idx="98">
                  <c:v>1521.0</c:v>
                </c:pt>
                <c:pt idx="99">
                  <c:v>1521.0</c:v>
                </c:pt>
                <c:pt idx="100">
                  <c:v>1521.0</c:v>
                </c:pt>
                <c:pt idx="101">
                  <c:v>1521.0</c:v>
                </c:pt>
                <c:pt idx="102">
                  <c:v>1521.0</c:v>
                </c:pt>
                <c:pt idx="103">
                  <c:v>1521.0</c:v>
                </c:pt>
                <c:pt idx="104">
                  <c:v>1521.0</c:v>
                </c:pt>
                <c:pt idx="105">
                  <c:v>1521.0</c:v>
                </c:pt>
                <c:pt idx="106">
                  <c:v>1521.0</c:v>
                </c:pt>
                <c:pt idx="107">
                  <c:v>1521.0</c:v>
                </c:pt>
                <c:pt idx="108">
                  <c:v>1521.0</c:v>
                </c:pt>
                <c:pt idx="109">
                  <c:v>1521.0</c:v>
                </c:pt>
                <c:pt idx="110">
                  <c:v>1521.0</c:v>
                </c:pt>
                <c:pt idx="111">
                  <c:v>1521.0</c:v>
                </c:pt>
                <c:pt idx="112">
                  <c:v>1521.0</c:v>
                </c:pt>
                <c:pt idx="113">
                  <c:v>1521.0</c:v>
                </c:pt>
                <c:pt idx="114">
                  <c:v>1521.0</c:v>
                </c:pt>
                <c:pt idx="115">
                  <c:v>1521.0</c:v>
                </c:pt>
                <c:pt idx="116">
                  <c:v>1521.0</c:v>
                </c:pt>
                <c:pt idx="117">
                  <c:v>1521.0</c:v>
                </c:pt>
                <c:pt idx="118">
                  <c:v>1521.0</c:v>
                </c:pt>
                <c:pt idx="119">
                  <c:v>1521.0</c:v>
                </c:pt>
                <c:pt idx="120">
                  <c:v>1521.0</c:v>
                </c:pt>
                <c:pt idx="121">
                  <c:v>1521.0</c:v>
                </c:pt>
                <c:pt idx="122">
                  <c:v>1521.0</c:v>
                </c:pt>
                <c:pt idx="123">
                  <c:v>1521.0</c:v>
                </c:pt>
                <c:pt idx="124">
                  <c:v>1521.0</c:v>
                </c:pt>
                <c:pt idx="125">
                  <c:v>1521.0</c:v>
                </c:pt>
                <c:pt idx="126">
                  <c:v>1521.0</c:v>
                </c:pt>
                <c:pt idx="127">
                  <c:v>1521.0</c:v>
                </c:pt>
                <c:pt idx="128">
                  <c:v>1521.0</c:v>
                </c:pt>
                <c:pt idx="129">
                  <c:v>1521.0</c:v>
                </c:pt>
                <c:pt idx="130">
                  <c:v>1521.0</c:v>
                </c:pt>
                <c:pt idx="131">
                  <c:v>1521.0</c:v>
                </c:pt>
                <c:pt idx="132">
                  <c:v>1521.0</c:v>
                </c:pt>
                <c:pt idx="133">
                  <c:v>1521.0</c:v>
                </c:pt>
                <c:pt idx="134">
                  <c:v>1521.0</c:v>
                </c:pt>
                <c:pt idx="135">
                  <c:v>1521.0</c:v>
                </c:pt>
                <c:pt idx="136">
                  <c:v>1521.0</c:v>
                </c:pt>
                <c:pt idx="137">
                  <c:v>1521.0</c:v>
                </c:pt>
                <c:pt idx="138">
                  <c:v>1521.0</c:v>
                </c:pt>
                <c:pt idx="139">
                  <c:v>1521.0</c:v>
                </c:pt>
                <c:pt idx="140">
                  <c:v>1521.0</c:v>
                </c:pt>
                <c:pt idx="141">
                  <c:v>1521.0</c:v>
                </c:pt>
                <c:pt idx="142">
                  <c:v>1521.0</c:v>
                </c:pt>
                <c:pt idx="143">
                  <c:v>1521.0</c:v>
                </c:pt>
                <c:pt idx="144">
                  <c:v>1521.0</c:v>
                </c:pt>
                <c:pt idx="145">
                  <c:v>1521.0</c:v>
                </c:pt>
                <c:pt idx="146">
                  <c:v>1521.0</c:v>
                </c:pt>
                <c:pt idx="147">
                  <c:v>1521.0</c:v>
                </c:pt>
                <c:pt idx="148">
                  <c:v>1521.0</c:v>
                </c:pt>
                <c:pt idx="149">
                  <c:v>1521.0</c:v>
                </c:pt>
                <c:pt idx="150">
                  <c:v>1521.0</c:v>
                </c:pt>
                <c:pt idx="151">
                  <c:v>1521.0</c:v>
                </c:pt>
                <c:pt idx="152">
                  <c:v>1521.0</c:v>
                </c:pt>
                <c:pt idx="153">
                  <c:v>1521.0</c:v>
                </c:pt>
                <c:pt idx="154">
                  <c:v>1521.0</c:v>
                </c:pt>
                <c:pt idx="155">
                  <c:v>1521.0</c:v>
                </c:pt>
                <c:pt idx="156">
                  <c:v>1521.0</c:v>
                </c:pt>
                <c:pt idx="157">
                  <c:v>1521.0</c:v>
                </c:pt>
                <c:pt idx="158">
                  <c:v>1521.0</c:v>
                </c:pt>
                <c:pt idx="159">
                  <c:v>1521.0</c:v>
                </c:pt>
                <c:pt idx="160">
                  <c:v>1521.0</c:v>
                </c:pt>
                <c:pt idx="161">
                  <c:v>1521.0</c:v>
                </c:pt>
                <c:pt idx="162">
                  <c:v>1521.0</c:v>
                </c:pt>
                <c:pt idx="163">
                  <c:v>1521.0</c:v>
                </c:pt>
                <c:pt idx="164">
                  <c:v>1521.0</c:v>
                </c:pt>
                <c:pt idx="165">
                  <c:v>1521.0</c:v>
                </c:pt>
                <c:pt idx="166">
                  <c:v>1521.0</c:v>
                </c:pt>
                <c:pt idx="167">
                  <c:v>1521.0</c:v>
                </c:pt>
                <c:pt idx="168">
                  <c:v>1521.0</c:v>
                </c:pt>
                <c:pt idx="169">
                  <c:v>1521.0</c:v>
                </c:pt>
                <c:pt idx="170">
                  <c:v>1521.0</c:v>
                </c:pt>
                <c:pt idx="171">
                  <c:v>1521.0</c:v>
                </c:pt>
                <c:pt idx="172">
                  <c:v>1521.0</c:v>
                </c:pt>
                <c:pt idx="173">
                  <c:v>1521.0</c:v>
                </c:pt>
                <c:pt idx="174">
                  <c:v>1521.0</c:v>
                </c:pt>
                <c:pt idx="175">
                  <c:v>1521.0</c:v>
                </c:pt>
                <c:pt idx="176">
                  <c:v>1521.0</c:v>
                </c:pt>
                <c:pt idx="177">
                  <c:v>1521.0</c:v>
                </c:pt>
                <c:pt idx="178">
                  <c:v>1521.0</c:v>
                </c:pt>
                <c:pt idx="179">
                  <c:v>1521.0</c:v>
                </c:pt>
                <c:pt idx="180">
                  <c:v>1521.0</c:v>
                </c:pt>
                <c:pt idx="181">
                  <c:v>1521.0</c:v>
                </c:pt>
                <c:pt idx="182">
                  <c:v>1521.0</c:v>
                </c:pt>
                <c:pt idx="183">
                  <c:v>1521.0</c:v>
                </c:pt>
                <c:pt idx="184">
                  <c:v>1521.0</c:v>
                </c:pt>
                <c:pt idx="185">
                  <c:v>1521.0</c:v>
                </c:pt>
                <c:pt idx="186">
                  <c:v>1521.0</c:v>
                </c:pt>
                <c:pt idx="187">
                  <c:v>1521.0</c:v>
                </c:pt>
                <c:pt idx="188">
                  <c:v>1521.0</c:v>
                </c:pt>
                <c:pt idx="189">
                  <c:v>1521.0</c:v>
                </c:pt>
                <c:pt idx="190">
                  <c:v>1521.0</c:v>
                </c:pt>
                <c:pt idx="191">
                  <c:v>1521.0</c:v>
                </c:pt>
                <c:pt idx="192">
                  <c:v>1521.0</c:v>
                </c:pt>
                <c:pt idx="193">
                  <c:v>1521.0</c:v>
                </c:pt>
                <c:pt idx="194">
                  <c:v>1521.0</c:v>
                </c:pt>
                <c:pt idx="195">
                  <c:v>1521.0</c:v>
                </c:pt>
                <c:pt idx="196">
                  <c:v>1521.0</c:v>
                </c:pt>
                <c:pt idx="197">
                  <c:v>1521.0</c:v>
                </c:pt>
                <c:pt idx="198">
                  <c:v>1521.0</c:v>
                </c:pt>
                <c:pt idx="199">
                  <c:v>1521.0</c:v>
                </c:pt>
                <c:pt idx="200">
                  <c:v>1521.0</c:v>
                </c:pt>
                <c:pt idx="201">
                  <c:v>1521.0</c:v>
                </c:pt>
                <c:pt idx="202">
                  <c:v>1521.0</c:v>
                </c:pt>
                <c:pt idx="203">
                  <c:v>1521.0</c:v>
                </c:pt>
                <c:pt idx="204">
                  <c:v>1521.0</c:v>
                </c:pt>
                <c:pt idx="205">
                  <c:v>1521.0</c:v>
                </c:pt>
                <c:pt idx="206">
                  <c:v>1521.0</c:v>
                </c:pt>
                <c:pt idx="207">
                  <c:v>1521.0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2"/>
          <c:order val="12"/>
          <c:tx>
            <c:v>Benchmark (1 Cent)</c:v>
          </c:tx>
          <c:spPr>
            <a:ln w="15875">
              <a:solidFill>
                <a:srgbClr val="C00000"/>
              </a:solidFill>
            </a:ln>
          </c:spPr>
          <c:marker>
            <c:symbol val="none"/>
          </c:marker>
          <c:xVal>
            <c:numRef>
              <c:f>'Fig6 Data'!$X$4:$X$211</c:f>
              <c:numCache>
                <c:formatCode>General</c:formatCode>
                <c:ptCount val="208"/>
                <c:pt idx="0">
                  <c:v>2029.0</c:v>
                </c:pt>
                <c:pt idx="1">
                  <c:v>2029.0</c:v>
                </c:pt>
                <c:pt idx="2">
                  <c:v>2029.0</c:v>
                </c:pt>
                <c:pt idx="3">
                  <c:v>2029.0</c:v>
                </c:pt>
                <c:pt idx="4">
                  <c:v>2029.0</c:v>
                </c:pt>
                <c:pt idx="5">
                  <c:v>2029.0</c:v>
                </c:pt>
                <c:pt idx="6">
                  <c:v>2029.0</c:v>
                </c:pt>
                <c:pt idx="7">
                  <c:v>2029.0</c:v>
                </c:pt>
                <c:pt idx="8">
                  <c:v>2029.0</c:v>
                </c:pt>
                <c:pt idx="9">
                  <c:v>2029.0</c:v>
                </c:pt>
                <c:pt idx="10">
                  <c:v>2029.0</c:v>
                </c:pt>
                <c:pt idx="11">
                  <c:v>2029.0</c:v>
                </c:pt>
                <c:pt idx="12">
                  <c:v>2029.0</c:v>
                </c:pt>
                <c:pt idx="13">
                  <c:v>2029.0</c:v>
                </c:pt>
                <c:pt idx="14">
                  <c:v>2029.0</c:v>
                </c:pt>
                <c:pt idx="15">
                  <c:v>2029.0</c:v>
                </c:pt>
                <c:pt idx="16">
                  <c:v>2029.0</c:v>
                </c:pt>
                <c:pt idx="17">
                  <c:v>2029.0</c:v>
                </c:pt>
                <c:pt idx="18">
                  <c:v>2029.0</c:v>
                </c:pt>
                <c:pt idx="19">
                  <c:v>2029.0</c:v>
                </c:pt>
                <c:pt idx="20">
                  <c:v>2029.0</c:v>
                </c:pt>
                <c:pt idx="21">
                  <c:v>2029.0</c:v>
                </c:pt>
                <c:pt idx="22">
                  <c:v>2029.0</c:v>
                </c:pt>
                <c:pt idx="23">
                  <c:v>2029.0</c:v>
                </c:pt>
                <c:pt idx="24">
                  <c:v>2029.0</c:v>
                </c:pt>
                <c:pt idx="25">
                  <c:v>2029.0</c:v>
                </c:pt>
                <c:pt idx="26">
                  <c:v>2029.0</c:v>
                </c:pt>
                <c:pt idx="27">
                  <c:v>2029.0</c:v>
                </c:pt>
                <c:pt idx="28">
                  <c:v>2029.0</c:v>
                </c:pt>
                <c:pt idx="29">
                  <c:v>2029.0</c:v>
                </c:pt>
                <c:pt idx="30">
                  <c:v>2029.0</c:v>
                </c:pt>
                <c:pt idx="31">
                  <c:v>2029.0</c:v>
                </c:pt>
                <c:pt idx="32">
                  <c:v>2029.0</c:v>
                </c:pt>
                <c:pt idx="33">
                  <c:v>2029.0</c:v>
                </c:pt>
                <c:pt idx="34">
                  <c:v>2029.0</c:v>
                </c:pt>
                <c:pt idx="35">
                  <c:v>2029.0</c:v>
                </c:pt>
                <c:pt idx="36">
                  <c:v>2029.0</c:v>
                </c:pt>
                <c:pt idx="37">
                  <c:v>2029.0</c:v>
                </c:pt>
                <c:pt idx="38">
                  <c:v>2029.0</c:v>
                </c:pt>
                <c:pt idx="39">
                  <c:v>2029.0</c:v>
                </c:pt>
                <c:pt idx="40">
                  <c:v>2029.0</c:v>
                </c:pt>
                <c:pt idx="41">
                  <c:v>2029.0</c:v>
                </c:pt>
                <c:pt idx="42">
                  <c:v>2029.0</c:v>
                </c:pt>
                <c:pt idx="43">
                  <c:v>2029.0</c:v>
                </c:pt>
                <c:pt idx="44">
                  <c:v>2029.0</c:v>
                </c:pt>
                <c:pt idx="45">
                  <c:v>2029.0</c:v>
                </c:pt>
                <c:pt idx="46">
                  <c:v>2029.0</c:v>
                </c:pt>
                <c:pt idx="47">
                  <c:v>2029.0</c:v>
                </c:pt>
                <c:pt idx="48">
                  <c:v>2029.0</c:v>
                </c:pt>
                <c:pt idx="49">
                  <c:v>2029.0</c:v>
                </c:pt>
                <c:pt idx="50">
                  <c:v>2029.0</c:v>
                </c:pt>
                <c:pt idx="51">
                  <c:v>2029.0</c:v>
                </c:pt>
                <c:pt idx="52">
                  <c:v>2029.0</c:v>
                </c:pt>
                <c:pt idx="53">
                  <c:v>2029.0</c:v>
                </c:pt>
                <c:pt idx="54">
                  <c:v>2029.0</c:v>
                </c:pt>
                <c:pt idx="55">
                  <c:v>2029.0</c:v>
                </c:pt>
                <c:pt idx="56">
                  <c:v>2029.0</c:v>
                </c:pt>
                <c:pt idx="57">
                  <c:v>2029.0</c:v>
                </c:pt>
                <c:pt idx="58">
                  <c:v>2029.0</c:v>
                </c:pt>
                <c:pt idx="59">
                  <c:v>2029.0</c:v>
                </c:pt>
                <c:pt idx="60">
                  <c:v>2029.0</c:v>
                </c:pt>
                <c:pt idx="61">
                  <c:v>2029.0</c:v>
                </c:pt>
                <c:pt idx="62">
                  <c:v>2029.0</c:v>
                </c:pt>
                <c:pt idx="63">
                  <c:v>2029.0</c:v>
                </c:pt>
                <c:pt idx="64">
                  <c:v>2029.0</c:v>
                </c:pt>
                <c:pt idx="65">
                  <c:v>2029.0</c:v>
                </c:pt>
                <c:pt idx="66">
                  <c:v>2029.0</c:v>
                </c:pt>
                <c:pt idx="67">
                  <c:v>2029.0</c:v>
                </c:pt>
                <c:pt idx="68">
                  <c:v>2029.0</c:v>
                </c:pt>
                <c:pt idx="69">
                  <c:v>2029.0</c:v>
                </c:pt>
                <c:pt idx="70">
                  <c:v>2029.0</c:v>
                </c:pt>
                <c:pt idx="71">
                  <c:v>2029.0</c:v>
                </c:pt>
                <c:pt idx="72">
                  <c:v>2029.0</c:v>
                </c:pt>
                <c:pt idx="73">
                  <c:v>2029.0</c:v>
                </c:pt>
                <c:pt idx="74">
                  <c:v>2029.0</c:v>
                </c:pt>
                <c:pt idx="75">
                  <c:v>2029.0</c:v>
                </c:pt>
                <c:pt idx="76">
                  <c:v>2029.0</c:v>
                </c:pt>
                <c:pt idx="77">
                  <c:v>2029.0</c:v>
                </c:pt>
                <c:pt idx="78">
                  <c:v>2029.0</c:v>
                </c:pt>
                <c:pt idx="79">
                  <c:v>2029.0</c:v>
                </c:pt>
                <c:pt idx="80">
                  <c:v>2029.0</c:v>
                </c:pt>
                <c:pt idx="81">
                  <c:v>2029.0</c:v>
                </c:pt>
                <c:pt idx="82">
                  <c:v>2029.0</c:v>
                </c:pt>
                <c:pt idx="83">
                  <c:v>2029.0</c:v>
                </c:pt>
                <c:pt idx="84">
                  <c:v>2029.0</c:v>
                </c:pt>
                <c:pt idx="85">
                  <c:v>2029.0</c:v>
                </c:pt>
                <c:pt idx="86">
                  <c:v>2029.0</c:v>
                </c:pt>
                <c:pt idx="87">
                  <c:v>2029.0</c:v>
                </c:pt>
                <c:pt idx="88">
                  <c:v>2029.0</c:v>
                </c:pt>
                <c:pt idx="89">
                  <c:v>2029.0</c:v>
                </c:pt>
                <c:pt idx="90">
                  <c:v>2029.0</c:v>
                </c:pt>
                <c:pt idx="91">
                  <c:v>2029.0</c:v>
                </c:pt>
                <c:pt idx="92">
                  <c:v>2029.0</c:v>
                </c:pt>
                <c:pt idx="93">
                  <c:v>2029.0</c:v>
                </c:pt>
                <c:pt idx="94">
                  <c:v>2029.0</c:v>
                </c:pt>
                <c:pt idx="95">
                  <c:v>2029.0</c:v>
                </c:pt>
                <c:pt idx="96">
                  <c:v>2029.0</c:v>
                </c:pt>
                <c:pt idx="97">
                  <c:v>2029.0</c:v>
                </c:pt>
                <c:pt idx="98">
                  <c:v>2029.0</c:v>
                </c:pt>
                <c:pt idx="99">
                  <c:v>2029.0</c:v>
                </c:pt>
                <c:pt idx="100">
                  <c:v>2029.0</c:v>
                </c:pt>
                <c:pt idx="101">
                  <c:v>2029.0</c:v>
                </c:pt>
                <c:pt idx="102">
                  <c:v>2029.0</c:v>
                </c:pt>
                <c:pt idx="103">
                  <c:v>2029.0</c:v>
                </c:pt>
                <c:pt idx="104">
                  <c:v>2029.0</c:v>
                </c:pt>
                <c:pt idx="105">
                  <c:v>2029.0</c:v>
                </c:pt>
                <c:pt idx="106">
                  <c:v>2029.0</c:v>
                </c:pt>
                <c:pt idx="107">
                  <c:v>2029.0</c:v>
                </c:pt>
                <c:pt idx="108">
                  <c:v>2029.0</c:v>
                </c:pt>
                <c:pt idx="109">
                  <c:v>2029.0</c:v>
                </c:pt>
                <c:pt idx="110">
                  <c:v>2029.0</c:v>
                </c:pt>
                <c:pt idx="111">
                  <c:v>2029.0</c:v>
                </c:pt>
                <c:pt idx="112">
                  <c:v>2029.0</c:v>
                </c:pt>
                <c:pt idx="113">
                  <c:v>2029.0</c:v>
                </c:pt>
                <c:pt idx="114">
                  <c:v>2029.0</c:v>
                </c:pt>
                <c:pt idx="115">
                  <c:v>2029.0</c:v>
                </c:pt>
                <c:pt idx="116">
                  <c:v>2029.0</c:v>
                </c:pt>
                <c:pt idx="117">
                  <c:v>2029.0</c:v>
                </c:pt>
                <c:pt idx="118">
                  <c:v>2029.0</c:v>
                </c:pt>
                <c:pt idx="119">
                  <c:v>2029.0</c:v>
                </c:pt>
                <c:pt idx="120">
                  <c:v>2029.0</c:v>
                </c:pt>
                <c:pt idx="121">
                  <c:v>2029.0</c:v>
                </c:pt>
                <c:pt idx="122">
                  <c:v>2029.0</c:v>
                </c:pt>
                <c:pt idx="123">
                  <c:v>2029.0</c:v>
                </c:pt>
                <c:pt idx="124">
                  <c:v>2029.0</c:v>
                </c:pt>
                <c:pt idx="125">
                  <c:v>2029.0</c:v>
                </c:pt>
                <c:pt idx="126">
                  <c:v>2029.0</c:v>
                </c:pt>
                <c:pt idx="127">
                  <c:v>2029.0</c:v>
                </c:pt>
                <c:pt idx="128">
                  <c:v>2029.0</c:v>
                </c:pt>
                <c:pt idx="129">
                  <c:v>2029.0</c:v>
                </c:pt>
                <c:pt idx="130">
                  <c:v>2029.0</c:v>
                </c:pt>
                <c:pt idx="131">
                  <c:v>2029.0</c:v>
                </c:pt>
                <c:pt idx="132">
                  <c:v>2029.0</c:v>
                </c:pt>
                <c:pt idx="133">
                  <c:v>2029.0</c:v>
                </c:pt>
                <c:pt idx="134">
                  <c:v>2029.0</c:v>
                </c:pt>
                <c:pt idx="135">
                  <c:v>2029.0</c:v>
                </c:pt>
                <c:pt idx="136">
                  <c:v>2029.0</c:v>
                </c:pt>
                <c:pt idx="137">
                  <c:v>2029.0</c:v>
                </c:pt>
                <c:pt idx="138">
                  <c:v>2029.0</c:v>
                </c:pt>
                <c:pt idx="139">
                  <c:v>2029.0</c:v>
                </c:pt>
                <c:pt idx="140">
                  <c:v>2029.0</c:v>
                </c:pt>
                <c:pt idx="141">
                  <c:v>2029.0</c:v>
                </c:pt>
                <c:pt idx="142">
                  <c:v>2029.0</c:v>
                </c:pt>
                <c:pt idx="143">
                  <c:v>2029.0</c:v>
                </c:pt>
                <c:pt idx="144">
                  <c:v>2029.0</c:v>
                </c:pt>
                <c:pt idx="145">
                  <c:v>2029.0</c:v>
                </c:pt>
                <c:pt idx="146">
                  <c:v>2029.0</c:v>
                </c:pt>
                <c:pt idx="147">
                  <c:v>2029.0</c:v>
                </c:pt>
                <c:pt idx="148">
                  <c:v>2029.0</c:v>
                </c:pt>
                <c:pt idx="149">
                  <c:v>2029.0</c:v>
                </c:pt>
                <c:pt idx="150">
                  <c:v>2029.0</c:v>
                </c:pt>
                <c:pt idx="151">
                  <c:v>2029.0</c:v>
                </c:pt>
                <c:pt idx="152">
                  <c:v>2029.0</c:v>
                </c:pt>
                <c:pt idx="153">
                  <c:v>2029.0</c:v>
                </c:pt>
                <c:pt idx="154">
                  <c:v>2029.0</c:v>
                </c:pt>
                <c:pt idx="155">
                  <c:v>2029.0</c:v>
                </c:pt>
                <c:pt idx="156">
                  <c:v>2029.0</c:v>
                </c:pt>
                <c:pt idx="157">
                  <c:v>2029.0</c:v>
                </c:pt>
                <c:pt idx="158">
                  <c:v>2029.0</c:v>
                </c:pt>
                <c:pt idx="159">
                  <c:v>2029.0</c:v>
                </c:pt>
                <c:pt idx="160">
                  <c:v>2029.0</c:v>
                </c:pt>
                <c:pt idx="161">
                  <c:v>2029.0</c:v>
                </c:pt>
                <c:pt idx="162">
                  <c:v>2029.0</c:v>
                </c:pt>
                <c:pt idx="163">
                  <c:v>2029.0</c:v>
                </c:pt>
                <c:pt idx="164">
                  <c:v>2029.0</c:v>
                </c:pt>
                <c:pt idx="165">
                  <c:v>2029.0</c:v>
                </c:pt>
                <c:pt idx="166">
                  <c:v>2029.0</c:v>
                </c:pt>
                <c:pt idx="167">
                  <c:v>2029.0</c:v>
                </c:pt>
                <c:pt idx="168">
                  <c:v>2029.0</c:v>
                </c:pt>
                <c:pt idx="169">
                  <c:v>2029.0</c:v>
                </c:pt>
                <c:pt idx="170">
                  <c:v>2029.0</c:v>
                </c:pt>
                <c:pt idx="171">
                  <c:v>2029.0</c:v>
                </c:pt>
                <c:pt idx="172">
                  <c:v>2029.0</c:v>
                </c:pt>
                <c:pt idx="173">
                  <c:v>2029.0</c:v>
                </c:pt>
                <c:pt idx="174">
                  <c:v>2029.0</c:v>
                </c:pt>
                <c:pt idx="175">
                  <c:v>2029.0</c:v>
                </c:pt>
                <c:pt idx="176">
                  <c:v>2029.0</c:v>
                </c:pt>
                <c:pt idx="177">
                  <c:v>2029.0</c:v>
                </c:pt>
                <c:pt idx="178">
                  <c:v>2029.0</c:v>
                </c:pt>
                <c:pt idx="179">
                  <c:v>2029.0</c:v>
                </c:pt>
                <c:pt idx="180">
                  <c:v>2029.0</c:v>
                </c:pt>
                <c:pt idx="181">
                  <c:v>2029.0</c:v>
                </c:pt>
                <c:pt idx="182">
                  <c:v>2029.0</c:v>
                </c:pt>
                <c:pt idx="183">
                  <c:v>2029.0</c:v>
                </c:pt>
                <c:pt idx="184">
                  <c:v>2029.0</c:v>
                </c:pt>
                <c:pt idx="185">
                  <c:v>2029.0</c:v>
                </c:pt>
                <c:pt idx="186">
                  <c:v>2029.0</c:v>
                </c:pt>
                <c:pt idx="187">
                  <c:v>2029.0</c:v>
                </c:pt>
                <c:pt idx="188">
                  <c:v>2029.0</c:v>
                </c:pt>
                <c:pt idx="189">
                  <c:v>2029.0</c:v>
                </c:pt>
                <c:pt idx="190">
                  <c:v>2029.0</c:v>
                </c:pt>
                <c:pt idx="191">
                  <c:v>2029.0</c:v>
                </c:pt>
                <c:pt idx="192">
                  <c:v>2029.0</c:v>
                </c:pt>
                <c:pt idx="193">
                  <c:v>2029.0</c:v>
                </c:pt>
                <c:pt idx="194">
                  <c:v>2029.0</c:v>
                </c:pt>
                <c:pt idx="195">
                  <c:v>2029.0</c:v>
                </c:pt>
                <c:pt idx="196">
                  <c:v>2029.0</c:v>
                </c:pt>
                <c:pt idx="197">
                  <c:v>2029.0</c:v>
                </c:pt>
                <c:pt idx="198">
                  <c:v>2029.0</c:v>
                </c:pt>
                <c:pt idx="199">
                  <c:v>2029.0</c:v>
                </c:pt>
                <c:pt idx="200">
                  <c:v>2029.0</c:v>
                </c:pt>
                <c:pt idx="201">
                  <c:v>2029.0</c:v>
                </c:pt>
                <c:pt idx="202">
                  <c:v>2029.0</c:v>
                </c:pt>
                <c:pt idx="203">
                  <c:v>2029.0</c:v>
                </c:pt>
                <c:pt idx="204">
                  <c:v>2029.0</c:v>
                </c:pt>
                <c:pt idx="205">
                  <c:v>2029.0</c:v>
                </c:pt>
                <c:pt idx="206">
                  <c:v>2029.0</c:v>
                </c:pt>
                <c:pt idx="207">
                  <c:v>2029.0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3"/>
          <c:order val="13"/>
          <c:tx>
            <c:v>Benchmark (4 cents)</c:v>
          </c:tx>
          <c:spPr>
            <a:ln w="15875">
              <a:solidFill>
                <a:srgbClr val="C00000"/>
              </a:solidFill>
            </a:ln>
          </c:spPr>
          <c:marker>
            <c:symbol val="none"/>
          </c:marker>
          <c:xVal>
            <c:numRef>
              <c:f>'Fig6 Data'!$Y$4:$Y$211</c:f>
              <c:numCache>
                <c:formatCode>General</c:formatCode>
                <c:ptCount val="208"/>
                <c:pt idx="0">
                  <c:v>2175.0</c:v>
                </c:pt>
                <c:pt idx="1">
                  <c:v>2175.0</c:v>
                </c:pt>
                <c:pt idx="2">
                  <c:v>2175.0</c:v>
                </c:pt>
                <c:pt idx="3">
                  <c:v>2175.0</c:v>
                </c:pt>
                <c:pt idx="4">
                  <c:v>2175.0</c:v>
                </c:pt>
                <c:pt idx="5">
                  <c:v>2175.0</c:v>
                </c:pt>
                <c:pt idx="6">
                  <c:v>2175.0</c:v>
                </c:pt>
                <c:pt idx="7">
                  <c:v>2175.0</c:v>
                </c:pt>
                <c:pt idx="8">
                  <c:v>2175.0</c:v>
                </c:pt>
                <c:pt idx="9">
                  <c:v>2175.0</c:v>
                </c:pt>
                <c:pt idx="10">
                  <c:v>2175.0</c:v>
                </c:pt>
                <c:pt idx="11">
                  <c:v>2175.0</c:v>
                </c:pt>
                <c:pt idx="12">
                  <c:v>2175.0</c:v>
                </c:pt>
                <c:pt idx="13">
                  <c:v>2175.0</c:v>
                </c:pt>
                <c:pt idx="14">
                  <c:v>2175.0</c:v>
                </c:pt>
                <c:pt idx="15">
                  <c:v>2175.0</c:v>
                </c:pt>
                <c:pt idx="16">
                  <c:v>2175.0</c:v>
                </c:pt>
                <c:pt idx="17">
                  <c:v>2175.0</c:v>
                </c:pt>
                <c:pt idx="18">
                  <c:v>2175.0</c:v>
                </c:pt>
                <c:pt idx="19">
                  <c:v>2175.0</c:v>
                </c:pt>
                <c:pt idx="20">
                  <c:v>2175.0</c:v>
                </c:pt>
                <c:pt idx="21">
                  <c:v>2175.0</c:v>
                </c:pt>
                <c:pt idx="22">
                  <c:v>2175.0</c:v>
                </c:pt>
                <c:pt idx="23">
                  <c:v>2175.0</c:v>
                </c:pt>
                <c:pt idx="24">
                  <c:v>2175.0</c:v>
                </c:pt>
                <c:pt idx="25">
                  <c:v>2175.0</c:v>
                </c:pt>
                <c:pt idx="26">
                  <c:v>2175.0</c:v>
                </c:pt>
                <c:pt idx="27">
                  <c:v>2175.0</c:v>
                </c:pt>
                <c:pt idx="28">
                  <c:v>2175.0</c:v>
                </c:pt>
                <c:pt idx="29">
                  <c:v>2175.0</c:v>
                </c:pt>
                <c:pt idx="30">
                  <c:v>2175.0</c:v>
                </c:pt>
                <c:pt idx="31">
                  <c:v>2175.0</c:v>
                </c:pt>
                <c:pt idx="32">
                  <c:v>2175.0</c:v>
                </c:pt>
                <c:pt idx="33">
                  <c:v>2175.0</c:v>
                </c:pt>
                <c:pt idx="34">
                  <c:v>2175.0</c:v>
                </c:pt>
                <c:pt idx="35">
                  <c:v>2175.0</c:v>
                </c:pt>
                <c:pt idx="36">
                  <c:v>2175.0</c:v>
                </c:pt>
                <c:pt idx="37">
                  <c:v>2175.0</c:v>
                </c:pt>
                <c:pt idx="38">
                  <c:v>2175.0</c:v>
                </c:pt>
                <c:pt idx="39">
                  <c:v>2175.0</c:v>
                </c:pt>
                <c:pt idx="40">
                  <c:v>2175.0</c:v>
                </c:pt>
                <c:pt idx="41">
                  <c:v>2175.0</c:v>
                </c:pt>
                <c:pt idx="42">
                  <c:v>2175.0</c:v>
                </c:pt>
                <c:pt idx="43">
                  <c:v>2175.0</c:v>
                </c:pt>
                <c:pt idx="44">
                  <c:v>2175.0</c:v>
                </c:pt>
                <c:pt idx="45">
                  <c:v>2175.0</c:v>
                </c:pt>
                <c:pt idx="46">
                  <c:v>2175.0</c:v>
                </c:pt>
                <c:pt idx="47">
                  <c:v>2175.0</c:v>
                </c:pt>
                <c:pt idx="48">
                  <c:v>2175.0</c:v>
                </c:pt>
                <c:pt idx="49">
                  <c:v>2175.0</c:v>
                </c:pt>
                <c:pt idx="50">
                  <c:v>2175.0</c:v>
                </c:pt>
                <c:pt idx="51">
                  <c:v>2175.0</c:v>
                </c:pt>
                <c:pt idx="52">
                  <c:v>2175.0</c:v>
                </c:pt>
                <c:pt idx="53">
                  <c:v>2175.0</c:v>
                </c:pt>
                <c:pt idx="54">
                  <c:v>2175.0</c:v>
                </c:pt>
                <c:pt idx="55">
                  <c:v>2175.0</c:v>
                </c:pt>
                <c:pt idx="56">
                  <c:v>2175.0</c:v>
                </c:pt>
                <c:pt idx="57">
                  <c:v>2175.0</c:v>
                </c:pt>
                <c:pt idx="58">
                  <c:v>2175.0</c:v>
                </c:pt>
                <c:pt idx="59">
                  <c:v>2175.0</c:v>
                </c:pt>
                <c:pt idx="60">
                  <c:v>2175.0</c:v>
                </c:pt>
                <c:pt idx="61">
                  <c:v>2175.0</c:v>
                </c:pt>
                <c:pt idx="62">
                  <c:v>2175.0</c:v>
                </c:pt>
                <c:pt idx="63">
                  <c:v>2175.0</c:v>
                </c:pt>
                <c:pt idx="64">
                  <c:v>2175.0</c:v>
                </c:pt>
                <c:pt idx="65">
                  <c:v>2175.0</c:v>
                </c:pt>
                <c:pt idx="66">
                  <c:v>2175.0</c:v>
                </c:pt>
                <c:pt idx="67">
                  <c:v>2175.0</c:v>
                </c:pt>
                <c:pt idx="68">
                  <c:v>2175.0</c:v>
                </c:pt>
                <c:pt idx="69">
                  <c:v>2175.0</c:v>
                </c:pt>
                <c:pt idx="70">
                  <c:v>2175.0</c:v>
                </c:pt>
                <c:pt idx="71">
                  <c:v>2175.0</c:v>
                </c:pt>
                <c:pt idx="72">
                  <c:v>2175.0</c:v>
                </c:pt>
                <c:pt idx="73">
                  <c:v>2175.0</c:v>
                </c:pt>
                <c:pt idx="74">
                  <c:v>2175.0</c:v>
                </c:pt>
                <c:pt idx="75">
                  <c:v>2175.0</c:v>
                </c:pt>
                <c:pt idx="76">
                  <c:v>2175.0</c:v>
                </c:pt>
                <c:pt idx="77">
                  <c:v>2175.0</c:v>
                </c:pt>
                <c:pt idx="78">
                  <c:v>2175.0</c:v>
                </c:pt>
                <c:pt idx="79">
                  <c:v>2175.0</c:v>
                </c:pt>
                <c:pt idx="80">
                  <c:v>2175.0</c:v>
                </c:pt>
                <c:pt idx="81">
                  <c:v>2175.0</c:v>
                </c:pt>
                <c:pt idx="82">
                  <c:v>2175.0</c:v>
                </c:pt>
                <c:pt idx="83">
                  <c:v>2175.0</c:v>
                </c:pt>
                <c:pt idx="84">
                  <c:v>2175.0</c:v>
                </c:pt>
                <c:pt idx="85">
                  <c:v>2175.0</c:v>
                </c:pt>
                <c:pt idx="86">
                  <c:v>2175.0</c:v>
                </c:pt>
                <c:pt idx="87">
                  <c:v>2175.0</c:v>
                </c:pt>
                <c:pt idx="88">
                  <c:v>2175.0</c:v>
                </c:pt>
                <c:pt idx="89">
                  <c:v>2175.0</c:v>
                </c:pt>
                <c:pt idx="90">
                  <c:v>2175.0</c:v>
                </c:pt>
                <c:pt idx="91">
                  <c:v>2175.0</c:v>
                </c:pt>
                <c:pt idx="92">
                  <c:v>2175.0</c:v>
                </c:pt>
                <c:pt idx="93">
                  <c:v>2175.0</c:v>
                </c:pt>
                <c:pt idx="94">
                  <c:v>2175.0</c:v>
                </c:pt>
                <c:pt idx="95">
                  <c:v>2175.0</c:v>
                </c:pt>
                <c:pt idx="96">
                  <c:v>2175.0</c:v>
                </c:pt>
                <c:pt idx="97">
                  <c:v>2175.0</c:v>
                </c:pt>
                <c:pt idx="98">
                  <c:v>2175.0</c:v>
                </c:pt>
                <c:pt idx="99">
                  <c:v>2175.0</c:v>
                </c:pt>
                <c:pt idx="100">
                  <c:v>2175.0</c:v>
                </c:pt>
                <c:pt idx="101">
                  <c:v>2175.0</c:v>
                </c:pt>
                <c:pt idx="102">
                  <c:v>2175.0</c:v>
                </c:pt>
                <c:pt idx="103">
                  <c:v>2175.0</c:v>
                </c:pt>
                <c:pt idx="104">
                  <c:v>2175.0</c:v>
                </c:pt>
                <c:pt idx="105">
                  <c:v>2175.0</c:v>
                </c:pt>
                <c:pt idx="106">
                  <c:v>2175.0</c:v>
                </c:pt>
                <c:pt idx="107">
                  <c:v>2175.0</c:v>
                </c:pt>
                <c:pt idx="108">
                  <c:v>2175.0</c:v>
                </c:pt>
                <c:pt idx="109">
                  <c:v>2175.0</c:v>
                </c:pt>
                <c:pt idx="110">
                  <c:v>2175.0</c:v>
                </c:pt>
                <c:pt idx="111">
                  <c:v>2175.0</c:v>
                </c:pt>
                <c:pt idx="112">
                  <c:v>2175.0</c:v>
                </c:pt>
                <c:pt idx="113">
                  <c:v>2175.0</c:v>
                </c:pt>
                <c:pt idx="114">
                  <c:v>2175.0</c:v>
                </c:pt>
                <c:pt idx="115">
                  <c:v>2175.0</c:v>
                </c:pt>
                <c:pt idx="116">
                  <c:v>2175.0</c:v>
                </c:pt>
                <c:pt idx="117">
                  <c:v>2175.0</c:v>
                </c:pt>
                <c:pt idx="118">
                  <c:v>2175.0</c:v>
                </c:pt>
                <c:pt idx="119">
                  <c:v>2175.0</c:v>
                </c:pt>
                <c:pt idx="120">
                  <c:v>2175.0</c:v>
                </c:pt>
                <c:pt idx="121">
                  <c:v>2175.0</c:v>
                </c:pt>
                <c:pt idx="122">
                  <c:v>2175.0</c:v>
                </c:pt>
                <c:pt idx="123">
                  <c:v>2175.0</c:v>
                </c:pt>
                <c:pt idx="124">
                  <c:v>2175.0</c:v>
                </c:pt>
                <c:pt idx="125">
                  <c:v>2175.0</c:v>
                </c:pt>
                <c:pt idx="126">
                  <c:v>2175.0</c:v>
                </c:pt>
                <c:pt idx="127">
                  <c:v>2175.0</c:v>
                </c:pt>
                <c:pt idx="128">
                  <c:v>2175.0</c:v>
                </c:pt>
                <c:pt idx="129">
                  <c:v>2175.0</c:v>
                </c:pt>
                <c:pt idx="130">
                  <c:v>2175.0</c:v>
                </c:pt>
                <c:pt idx="131">
                  <c:v>2175.0</c:v>
                </c:pt>
                <c:pt idx="132">
                  <c:v>2175.0</c:v>
                </c:pt>
                <c:pt idx="133">
                  <c:v>2175.0</c:v>
                </c:pt>
                <c:pt idx="134">
                  <c:v>2175.0</c:v>
                </c:pt>
                <c:pt idx="135">
                  <c:v>2175.0</c:v>
                </c:pt>
                <c:pt idx="136">
                  <c:v>2175.0</c:v>
                </c:pt>
                <c:pt idx="137">
                  <c:v>2175.0</c:v>
                </c:pt>
                <c:pt idx="138">
                  <c:v>2175.0</c:v>
                </c:pt>
                <c:pt idx="139">
                  <c:v>2175.0</c:v>
                </c:pt>
                <c:pt idx="140">
                  <c:v>2175.0</c:v>
                </c:pt>
                <c:pt idx="141">
                  <c:v>2175.0</c:v>
                </c:pt>
                <c:pt idx="142">
                  <c:v>2175.0</c:v>
                </c:pt>
                <c:pt idx="143">
                  <c:v>2175.0</c:v>
                </c:pt>
                <c:pt idx="144">
                  <c:v>2175.0</c:v>
                </c:pt>
                <c:pt idx="145">
                  <c:v>2175.0</c:v>
                </c:pt>
                <c:pt idx="146">
                  <c:v>2175.0</c:v>
                </c:pt>
                <c:pt idx="147">
                  <c:v>2175.0</c:v>
                </c:pt>
                <c:pt idx="148">
                  <c:v>2175.0</c:v>
                </c:pt>
                <c:pt idx="149">
                  <c:v>2175.0</c:v>
                </c:pt>
                <c:pt idx="150">
                  <c:v>2175.0</c:v>
                </c:pt>
                <c:pt idx="151">
                  <c:v>2175.0</c:v>
                </c:pt>
                <c:pt idx="152">
                  <c:v>2175.0</c:v>
                </c:pt>
                <c:pt idx="153">
                  <c:v>2175.0</c:v>
                </c:pt>
                <c:pt idx="154">
                  <c:v>2175.0</c:v>
                </c:pt>
                <c:pt idx="155">
                  <c:v>2175.0</c:v>
                </c:pt>
                <c:pt idx="156">
                  <c:v>2175.0</c:v>
                </c:pt>
                <c:pt idx="157">
                  <c:v>2175.0</c:v>
                </c:pt>
                <c:pt idx="158">
                  <c:v>2175.0</c:v>
                </c:pt>
                <c:pt idx="159">
                  <c:v>2175.0</c:v>
                </c:pt>
                <c:pt idx="160">
                  <c:v>2175.0</c:v>
                </c:pt>
                <c:pt idx="161">
                  <c:v>2175.0</c:v>
                </c:pt>
                <c:pt idx="162">
                  <c:v>2175.0</c:v>
                </c:pt>
                <c:pt idx="163">
                  <c:v>2175.0</c:v>
                </c:pt>
                <c:pt idx="164">
                  <c:v>2175.0</c:v>
                </c:pt>
                <c:pt idx="165">
                  <c:v>2175.0</c:v>
                </c:pt>
                <c:pt idx="166">
                  <c:v>2175.0</c:v>
                </c:pt>
                <c:pt idx="167">
                  <c:v>2175.0</c:v>
                </c:pt>
                <c:pt idx="168">
                  <c:v>2175.0</c:v>
                </c:pt>
                <c:pt idx="169">
                  <c:v>2175.0</c:v>
                </c:pt>
                <c:pt idx="170">
                  <c:v>2175.0</c:v>
                </c:pt>
                <c:pt idx="171">
                  <c:v>2175.0</c:v>
                </c:pt>
                <c:pt idx="172">
                  <c:v>2175.0</c:v>
                </c:pt>
                <c:pt idx="173">
                  <c:v>2175.0</c:v>
                </c:pt>
                <c:pt idx="174">
                  <c:v>2175.0</c:v>
                </c:pt>
                <c:pt idx="175">
                  <c:v>2175.0</c:v>
                </c:pt>
                <c:pt idx="176">
                  <c:v>2175.0</c:v>
                </c:pt>
                <c:pt idx="177">
                  <c:v>2175.0</c:v>
                </c:pt>
                <c:pt idx="178">
                  <c:v>2175.0</c:v>
                </c:pt>
                <c:pt idx="179">
                  <c:v>2175.0</c:v>
                </c:pt>
                <c:pt idx="180">
                  <c:v>2175.0</c:v>
                </c:pt>
                <c:pt idx="181">
                  <c:v>2175.0</c:v>
                </c:pt>
                <c:pt idx="182">
                  <c:v>2175.0</c:v>
                </c:pt>
                <c:pt idx="183">
                  <c:v>2175.0</c:v>
                </c:pt>
                <c:pt idx="184">
                  <c:v>2175.0</c:v>
                </c:pt>
                <c:pt idx="185">
                  <c:v>2175.0</c:v>
                </c:pt>
                <c:pt idx="186">
                  <c:v>2175.0</c:v>
                </c:pt>
                <c:pt idx="187">
                  <c:v>2175.0</c:v>
                </c:pt>
                <c:pt idx="188">
                  <c:v>2175.0</c:v>
                </c:pt>
                <c:pt idx="189">
                  <c:v>2175.0</c:v>
                </c:pt>
                <c:pt idx="190">
                  <c:v>2175.0</c:v>
                </c:pt>
                <c:pt idx="191">
                  <c:v>2175.0</c:v>
                </c:pt>
                <c:pt idx="192">
                  <c:v>2175.0</c:v>
                </c:pt>
                <c:pt idx="193">
                  <c:v>2175.0</c:v>
                </c:pt>
                <c:pt idx="194">
                  <c:v>2175.0</c:v>
                </c:pt>
                <c:pt idx="195">
                  <c:v>2175.0</c:v>
                </c:pt>
                <c:pt idx="196">
                  <c:v>2175.0</c:v>
                </c:pt>
                <c:pt idx="197">
                  <c:v>2175.0</c:v>
                </c:pt>
                <c:pt idx="198">
                  <c:v>2175.0</c:v>
                </c:pt>
                <c:pt idx="199">
                  <c:v>2175.0</c:v>
                </c:pt>
                <c:pt idx="200">
                  <c:v>2175.0</c:v>
                </c:pt>
                <c:pt idx="201">
                  <c:v>2175.0</c:v>
                </c:pt>
                <c:pt idx="202">
                  <c:v>2175.0</c:v>
                </c:pt>
                <c:pt idx="203">
                  <c:v>2175.0</c:v>
                </c:pt>
                <c:pt idx="204">
                  <c:v>2175.0</c:v>
                </c:pt>
                <c:pt idx="205">
                  <c:v>2175.0</c:v>
                </c:pt>
                <c:pt idx="206">
                  <c:v>2175.0</c:v>
                </c:pt>
                <c:pt idx="207">
                  <c:v>2175.0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dLbls>
          <c:showLegendKey val="0"/>
          <c:showVal val="0"/>
          <c:showCatName val="0"/>
          <c:showSerName val="0"/>
          <c:showPercent val="0"/>
          <c:showBubbleSize val="0"/>
        </c:dLbls>
        <c:axId val="-1170387696"/>
        <c:axId val="-1169141264"/>
      </c:scatterChart>
      <c:valAx>
        <c:axId val="-1170387696"/>
        <c:scaling>
          <c:orientation val="minMax"/>
          <c:max val="2500.0"/>
          <c:min val="1000.0"/>
        </c:scaling>
        <c:delete val="0"/>
        <c:axPos val="b"/>
        <c:title>
          <c:tx>
            <c:rich>
              <a:bodyPr/>
              <a:lstStyle/>
              <a:p>
                <a:pPr>
                  <a:defRPr/>
                </a:pPr>
                <a:r>
                  <a:rPr lang="de-DE" b="0"/>
                  <a:t>Expert Forecasts</a:t>
                </a:r>
              </a:p>
            </c:rich>
          </c:tx>
          <c:overlay val="0"/>
        </c:title>
        <c:numFmt formatCode="General" sourceLinked="1"/>
        <c:majorTickMark val="none"/>
        <c:minorTickMark val="none"/>
        <c:tickLblPos val="nextTo"/>
        <c:crossAx val="-1169141264"/>
        <c:crosses val="autoZero"/>
        <c:crossBetween val="midCat"/>
      </c:valAx>
      <c:valAx>
        <c:axId val="-1169141264"/>
        <c:scaling>
          <c:orientation val="minMax"/>
          <c:max val="1.0"/>
        </c:scaling>
        <c:delete val="0"/>
        <c:axPos val="l"/>
        <c:majorGridlines>
          <c:spPr>
            <a:ln>
              <a:solidFill>
                <a:schemeClr val="bg1"/>
              </a:solidFill>
            </a:ln>
          </c:spPr>
        </c:majorGridlines>
        <c:title>
          <c:tx>
            <c:rich>
              <a:bodyPr/>
              <a:lstStyle/>
              <a:p>
                <a:pPr>
                  <a:defRPr/>
                </a:pPr>
                <a:r>
                  <a:rPr lang="de-DE" b="0"/>
                  <a:t>Cumulative</a:t>
                </a:r>
                <a:r>
                  <a:rPr lang="de-DE" b="0" baseline="0"/>
                  <a:t> Fraction</a:t>
                </a:r>
                <a:endParaRPr lang="de-DE" b="0"/>
              </a:p>
            </c:rich>
          </c:tx>
          <c:overlay val="0"/>
        </c:title>
        <c:numFmt formatCode="General" sourceLinked="1"/>
        <c:majorTickMark val="none"/>
        <c:minorTickMark val="none"/>
        <c:tickLblPos val="nextTo"/>
        <c:crossAx val="-1170387696"/>
        <c:crosses val="autoZero"/>
        <c:crossBetween val="midCat"/>
      </c:valAx>
      <c:spPr>
        <a:noFill/>
        <a:ln>
          <a:solidFill>
            <a:schemeClr val="tx1"/>
          </a:solidFill>
        </a:ln>
      </c:spPr>
    </c:plotArea>
    <c:legend>
      <c:legendPos val="l"/>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107375757338826"/>
          <c:y val="0.0571474413376003"/>
          <c:w val="0.212864630054155"/>
          <c:h val="0.0592396987727108"/>
        </c:manualLayout>
      </c:layout>
      <c:overlay val="1"/>
    </c:legend>
    <c:plotVisOnly val="1"/>
    <c:dispBlanksAs val="gap"/>
    <c:showDLblsOverMax val="0"/>
  </c:chart>
  <c:printSettings>
    <c:headerFooter/>
    <c:pageMargins b="0.787401575" l="0.700000000000001" r="0.700000000000001" t="0.7874015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smoothMarker"/>
        <c:varyColors val="0"/>
        <c:ser>
          <c:idx val="0"/>
          <c:order val="0"/>
          <c:tx>
            <c:v>1 Cent in two Weeks</c:v>
          </c:tx>
          <c:spPr>
            <a:ln w="22225"/>
          </c:spPr>
          <c:marker>
            <c:symbol val="none"/>
          </c:marker>
          <c:xVal>
            <c:numRef>
              <c:f>'Fig6 Data'!$I$4:$I$211</c:f>
              <c:numCache>
                <c:formatCode>General</c:formatCode>
                <c:ptCount val="208"/>
                <c:pt idx="0">
                  <c:v>1311.0</c:v>
                </c:pt>
                <c:pt idx="1">
                  <c:v>1438.0</c:v>
                </c:pt>
                <c:pt idx="2">
                  <c:v>1441.0</c:v>
                </c:pt>
                <c:pt idx="3">
                  <c:v>1481.0</c:v>
                </c:pt>
                <c:pt idx="4">
                  <c:v>1500.0</c:v>
                </c:pt>
                <c:pt idx="5">
                  <c:v>1504.0</c:v>
                </c:pt>
                <c:pt idx="6">
                  <c:v>1522.0</c:v>
                </c:pt>
                <c:pt idx="7">
                  <c:v>1532.0</c:v>
                </c:pt>
                <c:pt idx="8">
                  <c:v>1543.0</c:v>
                </c:pt>
                <c:pt idx="9">
                  <c:v>1606.0</c:v>
                </c:pt>
                <c:pt idx="10">
                  <c:v>1633.0</c:v>
                </c:pt>
                <c:pt idx="11">
                  <c:v>1633.0</c:v>
                </c:pt>
                <c:pt idx="12">
                  <c:v>1641.0</c:v>
                </c:pt>
                <c:pt idx="13">
                  <c:v>1680.0</c:v>
                </c:pt>
                <c:pt idx="14">
                  <c:v>1686.0</c:v>
                </c:pt>
                <c:pt idx="15">
                  <c:v>1690.0</c:v>
                </c:pt>
                <c:pt idx="16">
                  <c:v>1695.0</c:v>
                </c:pt>
                <c:pt idx="17">
                  <c:v>1700.0</c:v>
                </c:pt>
                <c:pt idx="18">
                  <c:v>1703.0</c:v>
                </c:pt>
                <c:pt idx="19">
                  <c:v>1725.0</c:v>
                </c:pt>
                <c:pt idx="20">
                  <c:v>1732.0</c:v>
                </c:pt>
                <c:pt idx="21">
                  <c:v>1738.0</c:v>
                </c:pt>
                <c:pt idx="22">
                  <c:v>1743.0</c:v>
                </c:pt>
                <c:pt idx="23">
                  <c:v>1748.0</c:v>
                </c:pt>
                <c:pt idx="24">
                  <c:v>1750.0</c:v>
                </c:pt>
                <c:pt idx="25">
                  <c:v>1768.0</c:v>
                </c:pt>
                <c:pt idx="26">
                  <c:v>1788.0</c:v>
                </c:pt>
                <c:pt idx="27">
                  <c:v>1800.0</c:v>
                </c:pt>
                <c:pt idx="28">
                  <c:v>1802.0</c:v>
                </c:pt>
                <c:pt idx="29">
                  <c:v>1808.0</c:v>
                </c:pt>
                <c:pt idx="30">
                  <c:v>1810.0</c:v>
                </c:pt>
                <c:pt idx="31">
                  <c:v>1812.0</c:v>
                </c:pt>
                <c:pt idx="32">
                  <c:v>1820.0</c:v>
                </c:pt>
                <c:pt idx="33">
                  <c:v>1824.0</c:v>
                </c:pt>
                <c:pt idx="34">
                  <c:v>1825.0</c:v>
                </c:pt>
                <c:pt idx="35">
                  <c:v>1827.0</c:v>
                </c:pt>
                <c:pt idx="36">
                  <c:v>1832.0</c:v>
                </c:pt>
                <c:pt idx="37">
                  <c:v>1835.0</c:v>
                </c:pt>
                <c:pt idx="38">
                  <c:v>1840.0</c:v>
                </c:pt>
                <c:pt idx="39">
                  <c:v>1840.0</c:v>
                </c:pt>
                <c:pt idx="40">
                  <c:v>1849.0</c:v>
                </c:pt>
                <c:pt idx="41">
                  <c:v>1855.0</c:v>
                </c:pt>
                <c:pt idx="42">
                  <c:v>1855.0</c:v>
                </c:pt>
                <c:pt idx="43">
                  <c:v>1864.0</c:v>
                </c:pt>
                <c:pt idx="44">
                  <c:v>1871.0</c:v>
                </c:pt>
                <c:pt idx="45">
                  <c:v>1881.0</c:v>
                </c:pt>
                <c:pt idx="46">
                  <c:v>1887.0</c:v>
                </c:pt>
                <c:pt idx="47">
                  <c:v>1887.0</c:v>
                </c:pt>
                <c:pt idx="48">
                  <c:v>1891.0</c:v>
                </c:pt>
                <c:pt idx="49">
                  <c:v>1891.0</c:v>
                </c:pt>
                <c:pt idx="50">
                  <c:v>1893.0</c:v>
                </c:pt>
                <c:pt idx="51">
                  <c:v>1893.0</c:v>
                </c:pt>
                <c:pt idx="52">
                  <c:v>1897.0</c:v>
                </c:pt>
                <c:pt idx="53">
                  <c:v>1900.0</c:v>
                </c:pt>
                <c:pt idx="54">
                  <c:v>1900.0</c:v>
                </c:pt>
                <c:pt idx="55">
                  <c:v>1902.0</c:v>
                </c:pt>
                <c:pt idx="56">
                  <c:v>1902.0</c:v>
                </c:pt>
                <c:pt idx="57">
                  <c:v>1902.0</c:v>
                </c:pt>
                <c:pt idx="58">
                  <c:v>1905.0</c:v>
                </c:pt>
                <c:pt idx="59">
                  <c:v>1912.0</c:v>
                </c:pt>
                <c:pt idx="60">
                  <c:v>1915.0</c:v>
                </c:pt>
                <c:pt idx="61">
                  <c:v>1915.0</c:v>
                </c:pt>
                <c:pt idx="62">
                  <c:v>1919.0</c:v>
                </c:pt>
                <c:pt idx="63">
                  <c:v>1921.0</c:v>
                </c:pt>
                <c:pt idx="64">
                  <c:v>1925.0</c:v>
                </c:pt>
                <c:pt idx="65">
                  <c:v>1931.0</c:v>
                </c:pt>
                <c:pt idx="66">
                  <c:v>1935.0</c:v>
                </c:pt>
                <c:pt idx="67">
                  <c:v>1935.0</c:v>
                </c:pt>
                <c:pt idx="68">
                  <c:v>1937.0</c:v>
                </c:pt>
                <c:pt idx="69">
                  <c:v>1939.0</c:v>
                </c:pt>
                <c:pt idx="70">
                  <c:v>1947.0</c:v>
                </c:pt>
                <c:pt idx="71">
                  <c:v>1947.0</c:v>
                </c:pt>
                <c:pt idx="72">
                  <c:v>1947.0</c:v>
                </c:pt>
                <c:pt idx="73">
                  <c:v>1950.0</c:v>
                </c:pt>
                <c:pt idx="74">
                  <c:v>1950.0</c:v>
                </c:pt>
                <c:pt idx="75">
                  <c:v>1950.0</c:v>
                </c:pt>
                <c:pt idx="76">
                  <c:v>1951.0</c:v>
                </c:pt>
                <c:pt idx="77">
                  <c:v>1951.0</c:v>
                </c:pt>
                <c:pt idx="78">
                  <c:v>1952.0</c:v>
                </c:pt>
                <c:pt idx="79">
                  <c:v>1957.0</c:v>
                </c:pt>
                <c:pt idx="80">
                  <c:v>1959.0</c:v>
                </c:pt>
                <c:pt idx="81">
                  <c:v>1963.0</c:v>
                </c:pt>
                <c:pt idx="82">
                  <c:v>1967.0</c:v>
                </c:pt>
                <c:pt idx="83">
                  <c:v>1968.0</c:v>
                </c:pt>
                <c:pt idx="84">
                  <c:v>1969.0</c:v>
                </c:pt>
                <c:pt idx="85">
                  <c:v>1969.0</c:v>
                </c:pt>
                <c:pt idx="86">
                  <c:v>1972.0</c:v>
                </c:pt>
                <c:pt idx="87">
                  <c:v>1976.0</c:v>
                </c:pt>
                <c:pt idx="88">
                  <c:v>1976.0</c:v>
                </c:pt>
                <c:pt idx="89">
                  <c:v>1977.0</c:v>
                </c:pt>
                <c:pt idx="90">
                  <c:v>1977.0</c:v>
                </c:pt>
                <c:pt idx="91">
                  <c:v>1978.0</c:v>
                </c:pt>
                <c:pt idx="92">
                  <c:v>1978.0</c:v>
                </c:pt>
                <c:pt idx="93">
                  <c:v>1978.0</c:v>
                </c:pt>
                <c:pt idx="94">
                  <c:v>1979.0</c:v>
                </c:pt>
                <c:pt idx="95">
                  <c:v>1979.0</c:v>
                </c:pt>
                <c:pt idx="96">
                  <c:v>1980.0</c:v>
                </c:pt>
                <c:pt idx="97">
                  <c:v>1980.0</c:v>
                </c:pt>
                <c:pt idx="98">
                  <c:v>1986.0</c:v>
                </c:pt>
                <c:pt idx="99">
                  <c:v>1987.0</c:v>
                </c:pt>
                <c:pt idx="100">
                  <c:v>1988.0</c:v>
                </c:pt>
                <c:pt idx="101">
                  <c:v>1988.0</c:v>
                </c:pt>
                <c:pt idx="102">
                  <c:v>1988.0</c:v>
                </c:pt>
                <c:pt idx="103">
                  <c:v>1990.0</c:v>
                </c:pt>
                <c:pt idx="104">
                  <c:v>1991.0</c:v>
                </c:pt>
                <c:pt idx="105">
                  <c:v>1991.0</c:v>
                </c:pt>
                <c:pt idx="106">
                  <c:v>1992.0</c:v>
                </c:pt>
                <c:pt idx="107">
                  <c:v>1993.0</c:v>
                </c:pt>
                <c:pt idx="108">
                  <c:v>1994.0</c:v>
                </c:pt>
                <c:pt idx="109">
                  <c:v>1994.0</c:v>
                </c:pt>
                <c:pt idx="110">
                  <c:v>1994.0</c:v>
                </c:pt>
                <c:pt idx="111">
                  <c:v>1997.0</c:v>
                </c:pt>
                <c:pt idx="112">
                  <c:v>1997.0</c:v>
                </c:pt>
                <c:pt idx="113">
                  <c:v>1999.0</c:v>
                </c:pt>
                <c:pt idx="114">
                  <c:v>1999.0</c:v>
                </c:pt>
                <c:pt idx="115">
                  <c:v>2000.0</c:v>
                </c:pt>
                <c:pt idx="116">
                  <c:v>2000.0</c:v>
                </c:pt>
                <c:pt idx="117">
                  <c:v>2000.0</c:v>
                </c:pt>
                <c:pt idx="118">
                  <c:v>2000.0</c:v>
                </c:pt>
                <c:pt idx="119">
                  <c:v>2000.0</c:v>
                </c:pt>
                <c:pt idx="120">
                  <c:v>2001.0</c:v>
                </c:pt>
                <c:pt idx="121">
                  <c:v>2001.0</c:v>
                </c:pt>
                <c:pt idx="122">
                  <c:v>2001.0</c:v>
                </c:pt>
                <c:pt idx="123">
                  <c:v>2001.0</c:v>
                </c:pt>
                <c:pt idx="124">
                  <c:v>2001.0</c:v>
                </c:pt>
                <c:pt idx="125">
                  <c:v>2001.0</c:v>
                </c:pt>
                <c:pt idx="126">
                  <c:v>2001.0</c:v>
                </c:pt>
                <c:pt idx="127">
                  <c:v>2001.0</c:v>
                </c:pt>
                <c:pt idx="128">
                  <c:v>2001.0</c:v>
                </c:pt>
                <c:pt idx="129">
                  <c:v>2002.0</c:v>
                </c:pt>
                <c:pt idx="130">
                  <c:v>2002.0</c:v>
                </c:pt>
                <c:pt idx="131">
                  <c:v>2002.0</c:v>
                </c:pt>
                <c:pt idx="132">
                  <c:v>2002.0</c:v>
                </c:pt>
                <c:pt idx="133">
                  <c:v>2003.0</c:v>
                </c:pt>
                <c:pt idx="134">
                  <c:v>2003.0</c:v>
                </c:pt>
                <c:pt idx="135">
                  <c:v>2004.0</c:v>
                </c:pt>
                <c:pt idx="136">
                  <c:v>2007.0</c:v>
                </c:pt>
                <c:pt idx="137">
                  <c:v>2007.0</c:v>
                </c:pt>
                <c:pt idx="138">
                  <c:v>2008.0</c:v>
                </c:pt>
                <c:pt idx="139">
                  <c:v>2009.0</c:v>
                </c:pt>
                <c:pt idx="140">
                  <c:v>2009.0</c:v>
                </c:pt>
                <c:pt idx="141">
                  <c:v>2009.0</c:v>
                </c:pt>
                <c:pt idx="142">
                  <c:v>2009.0</c:v>
                </c:pt>
                <c:pt idx="143">
                  <c:v>2010.0</c:v>
                </c:pt>
                <c:pt idx="144">
                  <c:v>2010.0</c:v>
                </c:pt>
                <c:pt idx="145">
                  <c:v>2010.0</c:v>
                </c:pt>
                <c:pt idx="146">
                  <c:v>2011.0</c:v>
                </c:pt>
                <c:pt idx="147">
                  <c:v>2011.0</c:v>
                </c:pt>
                <c:pt idx="148">
                  <c:v>2011.0</c:v>
                </c:pt>
                <c:pt idx="149">
                  <c:v>2011.0</c:v>
                </c:pt>
                <c:pt idx="150">
                  <c:v>2012.0</c:v>
                </c:pt>
                <c:pt idx="151">
                  <c:v>2012.0</c:v>
                </c:pt>
                <c:pt idx="152">
                  <c:v>2013.0</c:v>
                </c:pt>
                <c:pt idx="153">
                  <c:v>2013.0</c:v>
                </c:pt>
                <c:pt idx="154">
                  <c:v>2015.0</c:v>
                </c:pt>
                <c:pt idx="155">
                  <c:v>2015.0</c:v>
                </c:pt>
                <c:pt idx="156">
                  <c:v>2016.0</c:v>
                </c:pt>
                <c:pt idx="157">
                  <c:v>2017.0</c:v>
                </c:pt>
                <c:pt idx="158">
                  <c:v>2017.0</c:v>
                </c:pt>
                <c:pt idx="159">
                  <c:v>2017.0</c:v>
                </c:pt>
                <c:pt idx="160">
                  <c:v>2017.0</c:v>
                </c:pt>
                <c:pt idx="161">
                  <c:v>2019.0</c:v>
                </c:pt>
                <c:pt idx="162">
                  <c:v>2019.0</c:v>
                </c:pt>
                <c:pt idx="163">
                  <c:v>2021.0</c:v>
                </c:pt>
                <c:pt idx="164">
                  <c:v>2023.0</c:v>
                </c:pt>
                <c:pt idx="165">
                  <c:v>2025.0</c:v>
                </c:pt>
                <c:pt idx="166">
                  <c:v>2026.0</c:v>
                </c:pt>
                <c:pt idx="167">
                  <c:v>2026.0</c:v>
                </c:pt>
                <c:pt idx="168">
                  <c:v>2026.0</c:v>
                </c:pt>
                <c:pt idx="169">
                  <c:v>2026.0</c:v>
                </c:pt>
                <c:pt idx="170">
                  <c:v>2026.0</c:v>
                </c:pt>
                <c:pt idx="171">
                  <c:v>2026.0</c:v>
                </c:pt>
                <c:pt idx="172">
                  <c:v>2026.0</c:v>
                </c:pt>
                <c:pt idx="173">
                  <c:v>2027.0</c:v>
                </c:pt>
                <c:pt idx="174">
                  <c:v>2027.0</c:v>
                </c:pt>
                <c:pt idx="175">
                  <c:v>2028.0</c:v>
                </c:pt>
                <c:pt idx="176">
                  <c:v>2028.0</c:v>
                </c:pt>
                <c:pt idx="177">
                  <c:v>2028.0</c:v>
                </c:pt>
                <c:pt idx="178">
                  <c:v>2028.0</c:v>
                </c:pt>
                <c:pt idx="179">
                  <c:v>2028.0</c:v>
                </c:pt>
                <c:pt idx="180">
                  <c:v>2028.0</c:v>
                </c:pt>
                <c:pt idx="181">
                  <c:v>2028.0</c:v>
                </c:pt>
                <c:pt idx="182">
                  <c:v>2028.0</c:v>
                </c:pt>
                <c:pt idx="183">
                  <c:v>2028.0</c:v>
                </c:pt>
                <c:pt idx="184">
                  <c:v>2028.0</c:v>
                </c:pt>
                <c:pt idx="185">
                  <c:v>2028.0</c:v>
                </c:pt>
                <c:pt idx="186">
                  <c:v>2029.0</c:v>
                </c:pt>
                <c:pt idx="187">
                  <c:v>2029.0</c:v>
                </c:pt>
                <c:pt idx="188">
                  <c:v>2029.0</c:v>
                </c:pt>
                <c:pt idx="189">
                  <c:v>2029.0</c:v>
                </c:pt>
                <c:pt idx="190">
                  <c:v>2030.0</c:v>
                </c:pt>
                <c:pt idx="191">
                  <c:v>2030.0</c:v>
                </c:pt>
                <c:pt idx="192">
                  <c:v>2032.0</c:v>
                </c:pt>
                <c:pt idx="193">
                  <c:v>2032.0</c:v>
                </c:pt>
                <c:pt idx="194">
                  <c:v>2035.0</c:v>
                </c:pt>
                <c:pt idx="195">
                  <c:v>2036.0</c:v>
                </c:pt>
                <c:pt idx="196">
                  <c:v>2039.0</c:v>
                </c:pt>
                <c:pt idx="197">
                  <c:v>2045.0</c:v>
                </c:pt>
                <c:pt idx="198">
                  <c:v>2049.0</c:v>
                </c:pt>
                <c:pt idx="199">
                  <c:v>2051.0</c:v>
                </c:pt>
                <c:pt idx="200">
                  <c:v>2058.0</c:v>
                </c:pt>
                <c:pt idx="201">
                  <c:v>2071.0</c:v>
                </c:pt>
                <c:pt idx="202">
                  <c:v>2100.0</c:v>
                </c:pt>
                <c:pt idx="203">
                  <c:v>2102.0</c:v>
                </c:pt>
                <c:pt idx="204">
                  <c:v>2130.0</c:v>
                </c:pt>
                <c:pt idx="205">
                  <c:v>2136.0</c:v>
                </c:pt>
                <c:pt idx="206">
                  <c:v>2207.0</c:v>
                </c:pt>
                <c:pt idx="207">
                  <c:v>2212.0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
          <c:order val="1"/>
          <c:tx>
            <c:v>1 Cent in four Weeks</c:v>
          </c:tx>
          <c:spPr>
            <a:ln w="22225">
              <a:solidFill>
                <a:schemeClr val="tx1"/>
              </a:solidFill>
            </a:ln>
          </c:spPr>
          <c:marker>
            <c:symbol val="none"/>
          </c:marker>
          <c:xVal>
            <c:numRef>
              <c:f>'Fig6 Data'!$J$4:$J$211</c:f>
              <c:numCache>
                <c:formatCode>General</c:formatCode>
                <c:ptCount val="208"/>
                <c:pt idx="0">
                  <c:v>1107.0</c:v>
                </c:pt>
                <c:pt idx="1">
                  <c:v>1304.0</c:v>
                </c:pt>
                <c:pt idx="2">
                  <c:v>1394.0</c:v>
                </c:pt>
                <c:pt idx="3">
                  <c:v>1431.0</c:v>
                </c:pt>
                <c:pt idx="4">
                  <c:v>1458.0</c:v>
                </c:pt>
                <c:pt idx="5">
                  <c:v>1500.0</c:v>
                </c:pt>
                <c:pt idx="6">
                  <c:v>1506.0</c:v>
                </c:pt>
                <c:pt idx="7">
                  <c:v>1508.0</c:v>
                </c:pt>
                <c:pt idx="8">
                  <c:v>1510.0</c:v>
                </c:pt>
                <c:pt idx="9">
                  <c:v>1532.0</c:v>
                </c:pt>
                <c:pt idx="10">
                  <c:v>1552.0</c:v>
                </c:pt>
                <c:pt idx="11">
                  <c:v>1575.0</c:v>
                </c:pt>
                <c:pt idx="12">
                  <c:v>1587.0</c:v>
                </c:pt>
                <c:pt idx="13">
                  <c:v>1590.0</c:v>
                </c:pt>
                <c:pt idx="14">
                  <c:v>1593.0</c:v>
                </c:pt>
                <c:pt idx="15">
                  <c:v>1597.0</c:v>
                </c:pt>
                <c:pt idx="16">
                  <c:v>1626.0</c:v>
                </c:pt>
                <c:pt idx="17">
                  <c:v>1650.0</c:v>
                </c:pt>
                <c:pt idx="18">
                  <c:v>1653.0</c:v>
                </c:pt>
                <c:pt idx="19">
                  <c:v>1680.0</c:v>
                </c:pt>
                <c:pt idx="20">
                  <c:v>1680.0</c:v>
                </c:pt>
                <c:pt idx="21">
                  <c:v>1685.0</c:v>
                </c:pt>
                <c:pt idx="22">
                  <c:v>1692.0</c:v>
                </c:pt>
                <c:pt idx="23">
                  <c:v>1696.0</c:v>
                </c:pt>
                <c:pt idx="24">
                  <c:v>1698.0</c:v>
                </c:pt>
                <c:pt idx="25">
                  <c:v>1698.0</c:v>
                </c:pt>
                <c:pt idx="26">
                  <c:v>1705.0</c:v>
                </c:pt>
                <c:pt idx="27">
                  <c:v>1705.0</c:v>
                </c:pt>
                <c:pt idx="28">
                  <c:v>1708.0</c:v>
                </c:pt>
                <c:pt idx="29">
                  <c:v>1720.0</c:v>
                </c:pt>
                <c:pt idx="30">
                  <c:v>1723.0</c:v>
                </c:pt>
                <c:pt idx="31">
                  <c:v>1725.0</c:v>
                </c:pt>
                <c:pt idx="32">
                  <c:v>1742.0</c:v>
                </c:pt>
                <c:pt idx="33">
                  <c:v>1752.0</c:v>
                </c:pt>
                <c:pt idx="34">
                  <c:v>1757.0</c:v>
                </c:pt>
                <c:pt idx="35">
                  <c:v>1768.0</c:v>
                </c:pt>
                <c:pt idx="36">
                  <c:v>1768.0</c:v>
                </c:pt>
                <c:pt idx="37">
                  <c:v>1770.0</c:v>
                </c:pt>
                <c:pt idx="38">
                  <c:v>1773.0</c:v>
                </c:pt>
                <c:pt idx="39">
                  <c:v>1793.0</c:v>
                </c:pt>
                <c:pt idx="40">
                  <c:v>1800.0</c:v>
                </c:pt>
                <c:pt idx="41">
                  <c:v>1800.0</c:v>
                </c:pt>
                <c:pt idx="42">
                  <c:v>1802.0</c:v>
                </c:pt>
                <c:pt idx="43">
                  <c:v>1802.0</c:v>
                </c:pt>
                <c:pt idx="44">
                  <c:v>1804.0</c:v>
                </c:pt>
                <c:pt idx="45">
                  <c:v>1807.0</c:v>
                </c:pt>
                <c:pt idx="46">
                  <c:v>1810.0</c:v>
                </c:pt>
                <c:pt idx="47">
                  <c:v>1817.0</c:v>
                </c:pt>
                <c:pt idx="48">
                  <c:v>1818.0</c:v>
                </c:pt>
                <c:pt idx="49">
                  <c:v>1818.0</c:v>
                </c:pt>
                <c:pt idx="50">
                  <c:v>1824.0</c:v>
                </c:pt>
                <c:pt idx="51">
                  <c:v>1824.0</c:v>
                </c:pt>
                <c:pt idx="52">
                  <c:v>1825.0</c:v>
                </c:pt>
                <c:pt idx="53">
                  <c:v>1830.0</c:v>
                </c:pt>
                <c:pt idx="54">
                  <c:v>1830.0</c:v>
                </c:pt>
                <c:pt idx="55">
                  <c:v>1845.0</c:v>
                </c:pt>
                <c:pt idx="56">
                  <c:v>1845.0</c:v>
                </c:pt>
                <c:pt idx="57">
                  <c:v>1847.0</c:v>
                </c:pt>
                <c:pt idx="58">
                  <c:v>1849.0</c:v>
                </c:pt>
                <c:pt idx="59">
                  <c:v>1852.0</c:v>
                </c:pt>
                <c:pt idx="60">
                  <c:v>1854.0</c:v>
                </c:pt>
                <c:pt idx="61">
                  <c:v>1857.0</c:v>
                </c:pt>
                <c:pt idx="62">
                  <c:v>1859.0</c:v>
                </c:pt>
                <c:pt idx="63">
                  <c:v>1860.0</c:v>
                </c:pt>
                <c:pt idx="64">
                  <c:v>1862.0</c:v>
                </c:pt>
                <c:pt idx="65">
                  <c:v>1862.0</c:v>
                </c:pt>
                <c:pt idx="66">
                  <c:v>1870.0</c:v>
                </c:pt>
                <c:pt idx="67">
                  <c:v>1871.0</c:v>
                </c:pt>
                <c:pt idx="68">
                  <c:v>1875.0</c:v>
                </c:pt>
                <c:pt idx="69">
                  <c:v>1879.0</c:v>
                </c:pt>
                <c:pt idx="70">
                  <c:v>1882.0</c:v>
                </c:pt>
                <c:pt idx="71">
                  <c:v>1884.0</c:v>
                </c:pt>
                <c:pt idx="72">
                  <c:v>1885.0</c:v>
                </c:pt>
                <c:pt idx="73">
                  <c:v>1887.0</c:v>
                </c:pt>
                <c:pt idx="74">
                  <c:v>1890.0</c:v>
                </c:pt>
                <c:pt idx="75">
                  <c:v>1890.0</c:v>
                </c:pt>
                <c:pt idx="76">
                  <c:v>1895.0</c:v>
                </c:pt>
                <c:pt idx="77">
                  <c:v>1897.0</c:v>
                </c:pt>
                <c:pt idx="78">
                  <c:v>1899.0</c:v>
                </c:pt>
                <c:pt idx="79">
                  <c:v>1900.0</c:v>
                </c:pt>
                <c:pt idx="80">
                  <c:v>1900.0</c:v>
                </c:pt>
                <c:pt idx="81">
                  <c:v>1903.0</c:v>
                </c:pt>
                <c:pt idx="82">
                  <c:v>1904.0</c:v>
                </c:pt>
                <c:pt idx="83">
                  <c:v>1907.0</c:v>
                </c:pt>
                <c:pt idx="84">
                  <c:v>1907.0</c:v>
                </c:pt>
                <c:pt idx="85">
                  <c:v>1909.0</c:v>
                </c:pt>
                <c:pt idx="86">
                  <c:v>1912.0</c:v>
                </c:pt>
                <c:pt idx="87">
                  <c:v>1917.0</c:v>
                </c:pt>
                <c:pt idx="88">
                  <c:v>1917.0</c:v>
                </c:pt>
                <c:pt idx="89">
                  <c:v>1921.0</c:v>
                </c:pt>
                <c:pt idx="90">
                  <c:v>1930.0</c:v>
                </c:pt>
                <c:pt idx="91">
                  <c:v>1932.0</c:v>
                </c:pt>
                <c:pt idx="92">
                  <c:v>1933.0</c:v>
                </c:pt>
                <c:pt idx="93">
                  <c:v>1934.0</c:v>
                </c:pt>
                <c:pt idx="94">
                  <c:v>1935.0</c:v>
                </c:pt>
                <c:pt idx="95">
                  <c:v>1943.0</c:v>
                </c:pt>
                <c:pt idx="96">
                  <c:v>1947.0</c:v>
                </c:pt>
                <c:pt idx="97">
                  <c:v>1948.0</c:v>
                </c:pt>
                <c:pt idx="98">
                  <c:v>1949.0</c:v>
                </c:pt>
                <c:pt idx="99">
                  <c:v>1950.0</c:v>
                </c:pt>
                <c:pt idx="100">
                  <c:v>1951.0</c:v>
                </c:pt>
                <c:pt idx="101">
                  <c:v>1952.0</c:v>
                </c:pt>
                <c:pt idx="102">
                  <c:v>1954.0</c:v>
                </c:pt>
                <c:pt idx="103">
                  <c:v>1959.0</c:v>
                </c:pt>
                <c:pt idx="104">
                  <c:v>1961.0</c:v>
                </c:pt>
                <c:pt idx="105">
                  <c:v>1961.0</c:v>
                </c:pt>
                <c:pt idx="106">
                  <c:v>1961.0</c:v>
                </c:pt>
                <c:pt idx="107">
                  <c:v>1961.0</c:v>
                </c:pt>
                <c:pt idx="108">
                  <c:v>1964.0</c:v>
                </c:pt>
                <c:pt idx="109">
                  <c:v>1965.0</c:v>
                </c:pt>
                <c:pt idx="110">
                  <c:v>1967.0</c:v>
                </c:pt>
                <c:pt idx="111">
                  <c:v>1967.0</c:v>
                </c:pt>
                <c:pt idx="112">
                  <c:v>1967.0</c:v>
                </c:pt>
                <c:pt idx="113">
                  <c:v>1969.0</c:v>
                </c:pt>
                <c:pt idx="114">
                  <c:v>1969.0</c:v>
                </c:pt>
                <c:pt idx="115">
                  <c:v>1970.0</c:v>
                </c:pt>
                <c:pt idx="116">
                  <c:v>1970.0</c:v>
                </c:pt>
                <c:pt idx="117">
                  <c:v>1971.0</c:v>
                </c:pt>
                <c:pt idx="118">
                  <c:v>1971.0</c:v>
                </c:pt>
                <c:pt idx="119">
                  <c:v>1972.0</c:v>
                </c:pt>
                <c:pt idx="120">
                  <c:v>1973.0</c:v>
                </c:pt>
                <c:pt idx="121">
                  <c:v>1973.0</c:v>
                </c:pt>
                <c:pt idx="122">
                  <c:v>1976.0</c:v>
                </c:pt>
                <c:pt idx="123">
                  <c:v>1977.0</c:v>
                </c:pt>
                <c:pt idx="124">
                  <c:v>1978.0</c:v>
                </c:pt>
                <c:pt idx="125">
                  <c:v>1978.0</c:v>
                </c:pt>
                <c:pt idx="126">
                  <c:v>1979.0</c:v>
                </c:pt>
                <c:pt idx="127">
                  <c:v>1981.0</c:v>
                </c:pt>
                <c:pt idx="128">
                  <c:v>1981.0</c:v>
                </c:pt>
                <c:pt idx="129">
                  <c:v>1982.0</c:v>
                </c:pt>
                <c:pt idx="130">
                  <c:v>1982.0</c:v>
                </c:pt>
                <c:pt idx="131">
                  <c:v>1983.0</c:v>
                </c:pt>
                <c:pt idx="132">
                  <c:v>1984.0</c:v>
                </c:pt>
                <c:pt idx="133">
                  <c:v>1984.0</c:v>
                </c:pt>
                <c:pt idx="134">
                  <c:v>1984.0</c:v>
                </c:pt>
                <c:pt idx="135">
                  <c:v>1986.0</c:v>
                </c:pt>
                <c:pt idx="136">
                  <c:v>1987.0</c:v>
                </c:pt>
                <c:pt idx="137">
                  <c:v>1987.0</c:v>
                </c:pt>
                <c:pt idx="138">
                  <c:v>1988.0</c:v>
                </c:pt>
                <c:pt idx="139">
                  <c:v>1989.0</c:v>
                </c:pt>
                <c:pt idx="140">
                  <c:v>1991.0</c:v>
                </c:pt>
                <c:pt idx="141">
                  <c:v>1991.0</c:v>
                </c:pt>
                <c:pt idx="142">
                  <c:v>1991.0</c:v>
                </c:pt>
                <c:pt idx="143">
                  <c:v>1998.0</c:v>
                </c:pt>
                <c:pt idx="144">
                  <c:v>2000.0</c:v>
                </c:pt>
                <c:pt idx="145">
                  <c:v>2000.0</c:v>
                </c:pt>
                <c:pt idx="146">
                  <c:v>2000.0</c:v>
                </c:pt>
                <c:pt idx="147">
                  <c:v>2000.0</c:v>
                </c:pt>
                <c:pt idx="148">
                  <c:v>2000.0</c:v>
                </c:pt>
                <c:pt idx="149">
                  <c:v>2001.0</c:v>
                </c:pt>
                <c:pt idx="150">
                  <c:v>2001.0</c:v>
                </c:pt>
                <c:pt idx="151">
                  <c:v>2001.0</c:v>
                </c:pt>
                <c:pt idx="152">
                  <c:v>2001.0</c:v>
                </c:pt>
                <c:pt idx="153">
                  <c:v>2001.0</c:v>
                </c:pt>
                <c:pt idx="154">
                  <c:v>2002.0</c:v>
                </c:pt>
                <c:pt idx="155">
                  <c:v>2002.0</c:v>
                </c:pt>
                <c:pt idx="156">
                  <c:v>2003.0</c:v>
                </c:pt>
                <c:pt idx="157">
                  <c:v>2004.0</c:v>
                </c:pt>
                <c:pt idx="158">
                  <c:v>2004.0</c:v>
                </c:pt>
                <c:pt idx="159">
                  <c:v>2004.0</c:v>
                </c:pt>
                <c:pt idx="160">
                  <c:v>2005.0</c:v>
                </c:pt>
                <c:pt idx="161">
                  <c:v>2006.0</c:v>
                </c:pt>
                <c:pt idx="162">
                  <c:v>2006.0</c:v>
                </c:pt>
                <c:pt idx="163">
                  <c:v>2007.0</c:v>
                </c:pt>
                <c:pt idx="164">
                  <c:v>2007.0</c:v>
                </c:pt>
                <c:pt idx="165">
                  <c:v>2009.0</c:v>
                </c:pt>
                <c:pt idx="166">
                  <c:v>2009.0</c:v>
                </c:pt>
                <c:pt idx="167">
                  <c:v>2010.0</c:v>
                </c:pt>
                <c:pt idx="168">
                  <c:v>2010.0</c:v>
                </c:pt>
                <c:pt idx="169">
                  <c:v>2010.0</c:v>
                </c:pt>
                <c:pt idx="170">
                  <c:v>2012.0</c:v>
                </c:pt>
                <c:pt idx="171">
                  <c:v>2012.0</c:v>
                </c:pt>
                <c:pt idx="172">
                  <c:v>2012.0</c:v>
                </c:pt>
                <c:pt idx="173">
                  <c:v>2013.0</c:v>
                </c:pt>
                <c:pt idx="174">
                  <c:v>2016.0</c:v>
                </c:pt>
                <c:pt idx="175">
                  <c:v>2016.0</c:v>
                </c:pt>
                <c:pt idx="176">
                  <c:v>2017.0</c:v>
                </c:pt>
                <c:pt idx="177">
                  <c:v>2019.0</c:v>
                </c:pt>
                <c:pt idx="178">
                  <c:v>2019.0</c:v>
                </c:pt>
                <c:pt idx="179">
                  <c:v>2022.0</c:v>
                </c:pt>
                <c:pt idx="180">
                  <c:v>2025.0</c:v>
                </c:pt>
                <c:pt idx="181">
                  <c:v>2026.0</c:v>
                </c:pt>
                <c:pt idx="182">
                  <c:v>2026.0</c:v>
                </c:pt>
                <c:pt idx="183">
                  <c:v>2026.0</c:v>
                </c:pt>
                <c:pt idx="184">
                  <c:v>2027.0</c:v>
                </c:pt>
                <c:pt idx="185">
                  <c:v>2028.0</c:v>
                </c:pt>
                <c:pt idx="186">
                  <c:v>2028.0</c:v>
                </c:pt>
                <c:pt idx="187">
                  <c:v>2028.0</c:v>
                </c:pt>
                <c:pt idx="188">
                  <c:v>2028.0</c:v>
                </c:pt>
                <c:pt idx="189">
                  <c:v>2028.0</c:v>
                </c:pt>
                <c:pt idx="190">
                  <c:v>2028.0</c:v>
                </c:pt>
                <c:pt idx="191">
                  <c:v>2030.0</c:v>
                </c:pt>
                <c:pt idx="192">
                  <c:v>2031.0</c:v>
                </c:pt>
                <c:pt idx="193">
                  <c:v>2032.0</c:v>
                </c:pt>
                <c:pt idx="194">
                  <c:v>2032.0</c:v>
                </c:pt>
                <c:pt idx="195">
                  <c:v>2033.0</c:v>
                </c:pt>
                <c:pt idx="196">
                  <c:v>2046.0</c:v>
                </c:pt>
                <c:pt idx="197">
                  <c:v>2047.0</c:v>
                </c:pt>
                <c:pt idx="198">
                  <c:v>2051.0</c:v>
                </c:pt>
                <c:pt idx="199">
                  <c:v>2054.0</c:v>
                </c:pt>
                <c:pt idx="200">
                  <c:v>2068.0</c:v>
                </c:pt>
                <c:pt idx="201">
                  <c:v>2076.0</c:v>
                </c:pt>
                <c:pt idx="202">
                  <c:v>2097.0</c:v>
                </c:pt>
                <c:pt idx="203">
                  <c:v>2102.0</c:v>
                </c:pt>
                <c:pt idx="204">
                  <c:v>2130.0</c:v>
                </c:pt>
                <c:pt idx="205">
                  <c:v>2142.0</c:v>
                </c:pt>
                <c:pt idx="206">
                  <c:v>2152.0</c:v>
                </c:pt>
                <c:pt idx="207">
                  <c:v>2217.0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2"/>
          <c:order val="2"/>
          <c:tx>
            <c:v>1% Chance of Extra Payment</c:v>
          </c:tx>
          <c:spPr>
            <a:ln w="22225"/>
          </c:spPr>
          <c:marker>
            <c:symbol val="none"/>
          </c:marker>
          <c:xVal>
            <c:numRef>
              <c:f>'Fig6 Data'!$K$4:$K$211</c:f>
              <c:numCache>
                <c:formatCode>General</c:formatCode>
                <c:ptCount val="208"/>
                <c:pt idx="0">
                  <c:v>1100.0</c:v>
                </c:pt>
                <c:pt idx="1">
                  <c:v>1129.0</c:v>
                </c:pt>
                <c:pt idx="2">
                  <c:v>1308.0</c:v>
                </c:pt>
                <c:pt idx="3">
                  <c:v>1427.0</c:v>
                </c:pt>
                <c:pt idx="4">
                  <c:v>1427.0</c:v>
                </c:pt>
                <c:pt idx="5">
                  <c:v>1434.0</c:v>
                </c:pt>
                <c:pt idx="6">
                  <c:v>1461.0</c:v>
                </c:pt>
                <c:pt idx="7">
                  <c:v>1500.0</c:v>
                </c:pt>
                <c:pt idx="8">
                  <c:v>1507.0</c:v>
                </c:pt>
                <c:pt idx="9">
                  <c:v>1508.0</c:v>
                </c:pt>
                <c:pt idx="10">
                  <c:v>1513.0</c:v>
                </c:pt>
                <c:pt idx="11">
                  <c:v>1520.0</c:v>
                </c:pt>
                <c:pt idx="12">
                  <c:v>1537.0</c:v>
                </c:pt>
                <c:pt idx="13">
                  <c:v>1555.0</c:v>
                </c:pt>
                <c:pt idx="14">
                  <c:v>1557.0</c:v>
                </c:pt>
                <c:pt idx="15">
                  <c:v>1583.0</c:v>
                </c:pt>
                <c:pt idx="16">
                  <c:v>1585.0</c:v>
                </c:pt>
                <c:pt idx="17">
                  <c:v>1586.0</c:v>
                </c:pt>
                <c:pt idx="18">
                  <c:v>1599.0</c:v>
                </c:pt>
                <c:pt idx="19">
                  <c:v>1601.0</c:v>
                </c:pt>
                <c:pt idx="20">
                  <c:v>1603.0</c:v>
                </c:pt>
                <c:pt idx="21">
                  <c:v>1606.0</c:v>
                </c:pt>
                <c:pt idx="22">
                  <c:v>1606.0</c:v>
                </c:pt>
                <c:pt idx="23">
                  <c:v>1611.0</c:v>
                </c:pt>
                <c:pt idx="24">
                  <c:v>1613.0</c:v>
                </c:pt>
                <c:pt idx="25">
                  <c:v>1641.0</c:v>
                </c:pt>
                <c:pt idx="26">
                  <c:v>1643.0</c:v>
                </c:pt>
                <c:pt idx="27">
                  <c:v>1647.0</c:v>
                </c:pt>
                <c:pt idx="28">
                  <c:v>1651.0</c:v>
                </c:pt>
                <c:pt idx="29">
                  <c:v>1656.0</c:v>
                </c:pt>
                <c:pt idx="30">
                  <c:v>1676.0</c:v>
                </c:pt>
                <c:pt idx="31">
                  <c:v>1678.0</c:v>
                </c:pt>
                <c:pt idx="32">
                  <c:v>1690.0</c:v>
                </c:pt>
                <c:pt idx="33">
                  <c:v>1693.0</c:v>
                </c:pt>
                <c:pt idx="34">
                  <c:v>1710.0</c:v>
                </c:pt>
                <c:pt idx="35">
                  <c:v>1713.0</c:v>
                </c:pt>
                <c:pt idx="36">
                  <c:v>1737.0</c:v>
                </c:pt>
                <c:pt idx="37">
                  <c:v>1745.0</c:v>
                </c:pt>
                <c:pt idx="38">
                  <c:v>1750.0</c:v>
                </c:pt>
                <c:pt idx="39">
                  <c:v>1750.0</c:v>
                </c:pt>
                <c:pt idx="40">
                  <c:v>1752.0</c:v>
                </c:pt>
                <c:pt idx="41">
                  <c:v>1753.0</c:v>
                </c:pt>
                <c:pt idx="42">
                  <c:v>1753.0</c:v>
                </c:pt>
                <c:pt idx="43">
                  <c:v>1758.0</c:v>
                </c:pt>
                <c:pt idx="44">
                  <c:v>1760.0</c:v>
                </c:pt>
                <c:pt idx="45">
                  <c:v>1760.0</c:v>
                </c:pt>
                <c:pt idx="46">
                  <c:v>1762.0</c:v>
                </c:pt>
                <c:pt idx="47">
                  <c:v>1765.0</c:v>
                </c:pt>
                <c:pt idx="48">
                  <c:v>1765.0</c:v>
                </c:pt>
                <c:pt idx="49">
                  <c:v>1767.0</c:v>
                </c:pt>
                <c:pt idx="50">
                  <c:v>1772.0</c:v>
                </c:pt>
                <c:pt idx="51">
                  <c:v>1773.0</c:v>
                </c:pt>
                <c:pt idx="52">
                  <c:v>1780.0</c:v>
                </c:pt>
                <c:pt idx="53">
                  <c:v>1790.0</c:v>
                </c:pt>
                <c:pt idx="54">
                  <c:v>1798.0</c:v>
                </c:pt>
                <c:pt idx="55">
                  <c:v>1804.0</c:v>
                </c:pt>
                <c:pt idx="56">
                  <c:v>1807.0</c:v>
                </c:pt>
                <c:pt idx="57">
                  <c:v>1810.0</c:v>
                </c:pt>
                <c:pt idx="58">
                  <c:v>1812.0</c:v>
                </c:pt>
                <c:pt idx="59">
                  <c:v>1825.0</c:v>
                </c:pt>
                <c:pt idx="60">
                  <c:v>1827.0</c:v>
                </c:pt>
                <c:pt idx="61">
                  <c:v>1833.0</c:v>
                </c:pt>
                <c:pt idx="62">
                  <c:v>1842.0</c:v>
                </c:pt>
                <c:pt idx="63">
                  <c:v>1842.0</c:v>
                </c:pt>
                <c:pt idx="64">
                  <c:v>1850.0</c:v>
                </c:pt>
                <c:pt idx="65">
                  <c:v>1855.0</c:v>
                </c:pt>
                <c:pt idx="66">
                  <c:v>1864.0</c:v>
                </c:pt>
                <c:pt idx="67">
                  <c:v>1873.0</c:v>
                </c:pt>
                <c:pt idx="68">
                  <c:v>1877.0</c:v>
                </c:pt>
                <c:pt idx="69">
                  <c:v>1879.0</c:v>
                </c:pt>
                <c:pt idx="70">
                  <c:v>1885.0</c:v>
                </c:pt>
                <c:pt idx="71">
                  <c:v>1889.0</c:v>
                </c:pt>
                <c:pt idx="72">
                  <c:v>1897.0</c:v>
                </c:pt>
                <c:pt idx="73">
                  <c:v>1899.0</c:v>
                </c:pt>
                <c:pt idx="74">
                  <c:v>1903.0</c:v>
                </c:pt>
                <c:pt idx="75">
                  <c:v>1904.0</c:v>
                </c:pt>
                <c:pt idx="76">
                  <c:v>1905.0</c:v>
                </c:pt>
                <c:pt idx="77">
                  <c:v>1912.0</c:v>
                </c:pt>
                <c:pt idx="78">
                  <c:v>1922.0</c:v>
                </c:pt>
                <c:pt idx="79">
                  <c:v>1924.0</c:v>
                </c:pt>
                <c:pt idx="80">
                  <c:v>1933.0</c:v>
                </c:pt>
                <c:pt idx="81">
                  <c:v>1937.0</c:v>
                </c:pt>
                <c:pt idx="82">
                  <c:v>1941.0</c:v>
                </c:pt>
                <c:pt idx="83">
                  <c:v>1942.0</c:v>
                </c:pt>
                <c:pt idx="84">
                  <c:v>1953.0</c:v>
                </c:pt>
                <c:pt idx="85">
                  <c:v>1955.0</c:v>
                </c:pt>
                <c:pt idx="86">
                  <c:v>1968.0</c:v>
                </c:pt>
                <c:pt idx="87">
                  <c:v>1993.0</c:v>
                </c:pt>
                <c:pt idx="88">
                  <c:v>1994.0</c:v>
                </c:pt>
                <c:pt idx="89">
                  <c:v>1999.0</c:v>
                </c:pt>
                <c:pt idx="90">
                  <c:v>2001.0</c:v>
                </c:pt>
                <c:pt idx="91">
                  <c:v>2001.0</c:v>
                </c:pt>
                <c:pt idx="92">
                  <c:v>2002.0</c:v>
                </c:pt>
                <c:pt idx="93">
                  <c:v>2006.0</c:v>
                </c:pt>
                <c:pt idx="94">
                  <c:v>2006.0</c:v>
                </c:pt>
                <c:pt idx="95">
                  <c:v>2008.0</c:v>
                </c:pt>
                <c:pt idx="96">
                  <c:v>2015.0</c:v>
                </c:pt>
                <c:pt idx="97">
                  <c:v>2016.0</c:v>
                </c:pt>
                <c:pt idx="98">
                  <c:v>2019.0</c:v>
                </c:pt>
                <c:pt idx="99">
                  <c:v>2020.0</c:v>
                </c:pt>
                <c:pt idx="100">
                  <c:v>2021.0</c:v>
                </c:pt>
                <c:pt idx="101">
                  <c:v>2028.0</c:v>
                </c:pt>
                <c:pt idx="102">
                  <c:v>2028.0</c:v>
                </c:pt>
                <c:pt idx="103">
                  <c:v>2029.0</c:v>
                </c:pt>
                <c:pt idx="104">
                  <c:v>2030.0</c:v>
                </c:pt>
                <c:pt idx="105">
                  <c:v>2032.0</c:v>
                </c:pt>
                <c:pt idx="106">
                  <c:v>2035.0</c:v>
                </c:pt>
                <c:pt idx="107">
                  <c:v>2037.0</c:v>
                </c:pt>
                <c:pt idx="108">
                  <c:v>2038.0</c:v>
                </c:pt>
                <c:pt idx="109">
                  <c:v>2038.0</c:v>
                </c:pt>
                <c:pt idx="110">
                  <c:v>2040.0</c:v>
                </c:pt>
                <c:pt idx="111">
                  <c:v>2041.0</c:v>
                </c:pt>
                <c:pt idx="112">
                  <c:v>2041.0</c:v>
                </c:pt>
                <c:pt idx="113">
                  <c:v>2041.0</c:v>
                </c:pt>
                <c:pt idx="114">
                  <c:v>2046.0</c:v>
                </c:pt>
                <c:pt idx="115">
                  <c:v>2048.0</c:v>
                </c:pt>
                <c:pt idx="116">
                  <c:v>2050.0</c:v>
                </c:pt>
                <c:pt idx="117">
                  <c:v>2053.0</c:v>
                </c:pt>
                <c:pt idx="118">
                  <c:v>2055.0</c:v>
                </c:pt>
                <c:pt idx="119">
                  <c:v>2056.0</c:v>
                </c:pt>
                <c:pt idx="120">
                  <c:v>2060.0</c:v>
                </c:pt>
                <c:pt idx="121">
                  <c:v>2063.0</c:v>
                </c:pt>
                <c:pt idx="122">
                  <c:v>2075.0</c:v>
                </c:pt>
                <c:pt idx="123">
                  <c:v>2076.0</c:v>
                </c:pt>
                <c:pt idx="124">
                  <c:v>2079.0</c:v>
                </c:pt>
                <c:pt idx="125">
                  <c:v>2081.0</c:v>
                </c:pt>
                <c:pt idx="126">
                  <c:v>2089.0</c:v>
                </c:pt>
                <c:pt idx="127">
                  <c:v>2095.0</c:v>
                </c:pt>
                <c:pt idx="128">
                  <c:v>2095.0</c:v>
                </c:pt>
                <c:pt idx="129">
                  <c:v>2097.0</c:v>
                </c:pt>
                <c:pt idx="130">
                  <c:v>2098.0</c:v>
                </c:pt>
                <c:pt idx="131">
                  <c:v>2099.0</c:v>
                </c:pt>
                <c:pt idx="132">
                  <c:v>2099.0</c:v>
                </c:pt>
                <c:pt idx="133">
                  <c:v>2100.0</c:v>
                </c:pt>
                <c:pt idx="134">
                  <c:v>2102.0</c:v>
                </c:pt>
                <c:pt idx="135">
                  <c:v>2103.0</c:v>
                </c:pt>
                <c:pt idx="136">
                  <c:v>2103.0</c:v>
                </c:pt>
                <c:pt idx="137">
                  <c:v>2104.0</c:v>
                </c:pt>
                <c:pt idx="138">
                  <c:v>2105.0</c:v>
                </c:pt>
                <c:pt idx="139">
                  <c:v>2105.0</c:v>
                </c:pt>
                <c:pt idx="140">
                  <c:v>2106.0</c:v>
                </c:pt>
                <c:pt idx="141">
                  <c:v>2107.0</c:v>
                </c:pt>
                <c:pt idx="142">
                  <c:v>2110.0</c:v>
                </c:pt>
                <c:pt idx="143">
                  <c:v>2110.0</c:v>
                </c:pt>
                <c:pt idx="144">
                  <c:v>2112.0</c:v>
                </c:pt>
                <c:pt idx="145">
                  <c:v>2113.0</c:v>
                </c:pt>
                <c:pt idx="146">
                  <c:v>2115.0</c:v>
                </c:pt>
                <c:pt idx="147">
                  <c:v>2118.0</c:v>
                </c:pt>
                <c:pt idx="148">
                  <c:v>2119.0</c:v>
                </c:pt>
                <c:pt idx="149">
                  <c:v>2119.0</c:v>
                </c:pt>
                <c:pt idx="150">
                  <c:v>2119.0</c:v>
                </c:pt>
                <c:pt idx="151">
                  <c:v>2122.0</c:v>
                </c:pt>
                <c:pt idx="152">
                  <c:v>2122.0</c:v>
                </c:pt>
                <c:pt idx="153">
                  <c:v>2124.0</c:v>
                </c:pt>
                <c:pt idx="154">
                  <c:v>2125.0</c:v>
                </c:pt>
                <c:pt idx="155">
                  <c:v>2128.0</c:v>
                </c:pt>
                <c:pt idx="156">
                  <c:v>2130.0</c:v>
                </c:pt>
                <c:pt idx="157">
                  <c:v>2132.0</c:v>
                </c:pt>
                <c:pt idx="158">
                  <c:v>2143.0</c:v>
                </c:pt>
                <c:pt idx="159">
                  <c:v>2143.0</c:v>
                </c:pt>
                <c:pt idx="160">
                  <c:v>2145.0</c:v>
                </c:pt>
                <c:pt idx="161">
                  <c:v>2148.0</c:v>
                </c:pt>
                <c:pt idx="162">
                  <c:v>2152.0</c:v>
                </c:pt>
                <c:pt idx="163">
                  <c:v>2157.0</c:v>
                </c:pt>
                <c:pt idx="164">
                  <c:v>2158.0</c:v>
                </c:pt>
                <c:pt idx="165">
                  <c:v>2159.0</c:v>
                </c:pt>
                <c:pt idx="166">
                  <c:v>2176.0</c:v>
                </c:pt>
                <c:pt idx="167">
                  <c:v>2176.0</c:v>
                </c:pt>
                <c:pt idx="168">
                  <c:v>2177.0</c:v>
                </c:pt>
                <c:pt idx="169">
                  <c:v>2179.0</c:v>
                </c:pt>
                <c:pt idx="170">
                  <c:v>2182.0</c:v>
                </c:pt>
                <c:pt idx="171">
                  <c:v>2186.0</c:v>
                </c:pt>
                <c:pt idx="172">
                  <c:v>2200.0</c:v>
                </c:pt>
                <c:pt idx="173">
                  <c:v>2200.0</c:v>
                </c:pt>
                <c:pt idx="174">
                  <c:v>2200.0</c:v>
                </c:pt>
                <c:pt idx="175">
                  <c:v>2200.0</c:v>
                </c:pt>
                <c:pt idx="176">
                  <c:v>2202.0</c:v>
                </c:pt>
                <c:pt idx="177">
                  <c:v>2205.0</c:v>
                </c:pt>
                <c:pt idx="178">
                  <c:v>2209.0</c:v>
                </c:pt>
                <c:pt idx="179">
                  <c:v>2209.0</c:v>
                </c:pt>
                <c:pt idx="180">
                  <c:v>2212.0</c:v>
                </c:pt>
                <c:pt idx="181">
                  <c:v>2223.0</c:v>
                </c:pt>
                <c:pt idx="182">
                  <c:v>2223.0</c:v>
                </c:pt>
                <c:pt idx="183">
                  <c:v>2229.0</c:v>
                </c:pt>
                <c:pt idx="184">
                  <c:v>2236.0</c:v>
                </c:pt>
                <c:pt idx="185">
                  <c:v>2243.0</c:v>
                </c:pt>
                <c:pt idx="186">
                  <c:v>2250.0</c:v>
                </c:pt>
                <c:pt idx="187">
                  <c:v>2252.0</c:v>
                </c:pt>
                <c:pt idx="188">
                  <c:v>2269.0</c:v>
                </c:pt>
                <c:pt idx="189">
                  <c:v>2280.0</c:v>
                </c:pt>
                <c:pt idx="190">
                  <c:v>2286.0</c:v>
                </c:pt>
                <c:pt idx="191">
                  <c:v>2300.0</c:v>
                </c:pt>
                <c:pt idx="192">
                  <c:v>2300.0</c:v>
                </c:pt>
                <c:pt idx="193">
                  <c:v>2300.0</c:v>
                </c:pt>
                <c:pt idx="194">
                  <c:v>2300.0</c:v>
                </c:pt>
                <c:pt idx="195">
                  <c:v>2302.0</c:v>
                </c:pt>
                <c:pt idx="196">
                  <c:v>2303.0</c:v>
                </c:pt>
                <c:pt idx="197">
                  <c:v>2306.0</c:v>
                </c:pt>
                <c:pt idx="198">
                  <c:v>2320.0</c:v>
                </c:pt>
                <c:pt idx="199">
                  <c:v>2340.0</c:v>
                </c:pt>
                <c:pt idx="200">
                  <c:v>2346.0</c:v>
                </c:pt>
                <c:pt idx="201">
                  <c:v>2353.0</c:v>
                </c:pt>
                <c:pt idx="202">
                  <c:v>2360.0</c:v>
                </c:pt>
                <c:pt idx="203">
                  <c:v>2370.0</c:v>
                </c:pt>
                <c:pt idx="204">
                  <c:v>2374.0</c:v>
                </c:pt>
                <c:pt idx="205">
                  <c:v>2430.0</c:v>
                </c:pt>
                <c:pt idx="206">
                  <c:v>2500.0</c:v>
                </c:pt>
                <c:pt idx="207">
                  <c:v>2500.0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3"/>
          <c:order val="3"/>
          <c:tx>
            <c:v>50% Chance of extra Payment</c:v>
          </c:tx>
          <c:spPr>
            <a:ln w="22225"/>
          </c:spPr>
          <c:marker>
            <c:symbol val="none"/>
          </c:marker>
          <c:xVal>
            <c:numRef>
              <c:f>'Fig6 Data'!$L$4:$L$211</c:f>
              <c:numCache>
                <c:formatCode>General</c:formatCode>
                <c:ptCount val="208"/>
                <c:pt idx="0">
                  <c:v>1177.0</c:v>
                </c:pt>
                <c:pt idx="1">
                  <c:v>1435.0</c:v>
                </c:pt>
                <c:pt idx="2">
                  <c:v>1448.0</c:v>
                </c:pt>
                <c:pt idx="3">
                  <c:v>1490.0</c:v>
                </c:pt>
                <c:pt idx="4">
                  <c:v>1511.0</c:v>
                </c:pt>
                <c:pt idx="5">
                  <c:v>1533.0</c:v>
                </c:pt>
                <c:pt idx="6">
                  <c:v>1548.0</c:v>
                </c:pt>
                <c:pt idx="7">
                  <c:v>1550.0</c:v>
                </c:pt>
                <c:pt idx="8">
                  <c:v>1567.0</c:v>
                </c:pt>
                <c:pt idx="9">
                  <c:v>1572.0</c:v>
                </c:pt>
                <c:pt idx="10">
                  <c:v>1587.0</c:v>
                </c:pt>
                <c:pt idx="11">
                  <c:v>1589.0</c:v>
                </c:pt>
                <c:pt idx="12">
                  <c:v>1593.0</c:v>
                </c:pt>
                <c:pt idx="13">
                  <c:v>1593.0</c:v>
                </c:pt>
                <c:pt idx="14">
                  <c:v>1603.0</c:v>
                </c:pt>
                <c:pt idx="15">
                  <c:v>1606.0</c:v>
                </c:pt>
                <c:pt idx="16">
                  <c:v>1613.0</c:v>
                </c:pt>
                <c:pt idx="17">
                  <c:v>1665.0</c:v>
                </c:pt>
                <c:pt idx="18">
                  <c:v>1665.0</c:v>
                </c:pt>
                <c:pt idx="19">
                  <c:v>1667.0</c:v>
                </c:pt>
                <c:pt idx="20">
                  <c:v>1668.0</c:v>
                </c:pt>
                <c:pt idx="21">
                  <c:v>1692.0</c:v>
                </c:pt>
                <c:pt idx="22">
                  <c:v>1693.0</c:v>
                </c:pt>
                <c:pt idx="23">
                  <c:v>1707.0</c:v>
                </c:pt>
                <c:pt idx="24">
                  <c:v>1715.0</c:v>
                </c:pt>
                <c:pt idx="25">
                  <c:v>1722.0</c:v>
                </c:pt>
                <c:pt idx="26">
                  <c:v>1730.0</c:v>
                </c:pt>
                <c:pt idx="27">
                  <c:v>1735.0</c:v>
                </c:pt>
                <c:pt idx="28">
                  <c:v>1748.0</c:v>
                </c:pt>
                <c:pt idx="29">
                  <c:v>1750.0</c:v>
                </c:pt>
                <c:pt idx="30">
                  <c:v>1753.0</c:v>
                </c:pt>
                <c:pt idx="31">
                  <c:v>1777.0</c:v>
                </c:pt>
                <c:pt idx="32">
                  <c:v>1777.0</c:v>
                </c:pt>
                <c:pt idx="33">
                  <c:v>1777.0</c:v>
                </c:pt>
                <c:pt idx="34">
                  <c:v>1780.0</c:v>
                </c:pt>
                <c:pt idx="35">
                  <c:v>1797.0</c:v>
                </c:pt>
                <c:pt idx="36">
                  <c:v>1797.0</c:v>
                </c:pt>
                <c:pt idx="37">
                  <c:v>1800.0</c:v>
                </c:pt>
                <c:pt idx="38">
                  <c:v>1800.0</c:v>
                </c:pt>
                <c:pt idx="39">
                  <c:v>1804.0</c:v>
                </c:pt>
                <c:pt idx="40">
                  <c:v>1808.0</c:v>
                </c:pt>
                <c:pt idx="41">
                  <c:v>1815.0</c:v>
                </c:pt>
                <c:pt idx="42">
                  <c:v>1817.0</c:v>
                </c:pt>
                <c:pt idx="43">
                  <c:v>1818.0</c:v>
                </c:pt>
                <c:pt idx="44">
                  <c:v>1818.0</c:v>
                </c:pt>
                <c:pt idx="45">
                  <c:v>1824.0</c:v>
                </c:pt>
                <c:pt idx="46">
                  <c:v>1828.0</c:v>
                </c:pt>
                <c:pt idx="47">
                  <c:v>1837.0</c:v>
                </c:pt>
                <c:pt idx="48">
                  <c:v>1845.0</c:v>
                </c:pt>
                <c:pt idx="49">
                  <c:v>1848.0</c:v>
                </c:pt>
                <c:pt idx="50">
                  <c:v>1852.0</c:v>
                </c:pt>
                <c:pt idx="51">
                  <c:v>1859.0</c:v>
                </c:pt>
                <c:pt idx="52">
                  <c:v>1860.0</c:v>
                </c:pt>
                <c:pt idx="53">
                  <c:v>1867.0</c:v>
                </c:pt>
                <c:pt idx="54">
                  <c:v>1867.0</c:v>
                </c:pt>
                <c:pt idx="55">
                  <c:v>1867.0</c:v>
                </c:pt>
                <c:pt idx="56">
                  <c:v>1870.0</c:v>
                </c:pt>
                <c:pt idx="57">
                  <c:v>1872.0</c:v>
                </c:pt>
                <c:pt idx="58">
                  <c:v>1873.0</c:v>
                </c:pt>
                <c:pt idx="59">
                  <c:v>1873.0</c:v>
                </c:pt>
                <c:pt idx="60">
                  <c:v>1879.0</c:v>
                </c:pt>
                <c:pt idx="61">
                  <c:v>1889.0</c:v>
                </c:pt>
                <c:pt idx="62">
                  <c:v>1894.0</c:v>
                </c:pt>
                <c:pt idx="63">
                  <c:v>1895.0</c:v>
                </c:pt>
                <c:pt idx="64">
                  <c:v>1895.0</c:v>
                </c:pt>
                <c:pt idx="65">
                  <c:v>1895.0</c:v>
                </c:pt>
                <c:pt idx="66">
                  <c:v>1900.0</c:v>
                </c:pt>
                <c:pt idx="67">
                  <c:v>1900.0</c:v>
                </c:pt>
                <c:pt idx="68">
                  <c:v>1902.0</c:v>
                </c:pt>
                <c:pt idx="69">
                  <c:v>1902.0</c:v>
                </c:pt>
                <c:pt idx="70">
                  <c:v>1904.0</c:v>
                </c:pt>
                <c:pt idx="71">
                  <c:v>1909.0</c:v>
                </c:pt>
                <c:pt idx="72">
                  <c:v>1909.0</c:v>
                </c:pt>
                <c:pt idx="73">
                  <c:v>1910.0</c:v>
                </c:pt>
                <c:pt idx="74">
                  <c:v>1910.0</c:v>
                </c:pt>
                <c:pt idx="75">
                  <c:v>1911.0</c:v>
                </c:pt>
                <c:pt idx="76">
                  <c:v>1912.0</c:v>
                </c:pt>
                <c:pt idx="77">
                  <c:v>1920.0</c:v>
                </c:pt>
                <c:pt idx="78">
                  <c:v>1929.0</c:v>
                </c:pt>
                <c:pt idx="79">
                  <c:v>1935.0</c:v>
                </c:pt>
                <c:pt idx="80">
                  <c:v>1941.0</c:v>
                </c:pt>
                <c:pt idx="81">
                  <c:v>1941.0</c:v>
                </c:pt>
                <c:pt idx="82">
                  <c:v>1944.0</c:v>
                </c:pt>
                <c:pt idx="83">
                  <c:v>1947.0</c:v>
                </c:pt>
                <c:pt idx="84">
                  <c:v>1949.0</c:v>
                </c:pt>
                <c:pt idx="85">
                  <c:v>1950.0</c:v>
                </c:pt>
                <c:pt idx="86">
                  <c:v>1954.0</c:v>
                </c:pt>
                <c:pt idx="87">
                  <c:v>1959.0</c:v>
                </c:pt>
                <c:pt idx="88">
                  <c:v>1964.0</c:v>
                </c:pt>
                <c:pt idx="89">
                  <c:v>1964.0</c:v>
                </c:pt>
                <c:pt idx="90">
                  <c:v>1970.0</c:v>
                </c:pt>
                <c:pt idx="91">
                  <c:v>1971.0</c:v>
                </c:pt>
                <c:pt idx="92">
                  <c:v>1978.0</c:v>
                </c:pt>
                <c:pt idx="93">
                  <c:v>1980.0</c:v>
                </c:pt>
                <c:pt idx="94">
                  <c:v>1983.0</c:v>
                </c:pt>
                <c:pt idx="95">
                  <c:v>1984.0</c:v>
                </c:pt>
                <c:pt idx="96">
                  <c:v>1984.0</c:v>
                </c:pt>
                <c:pt idx="97">
                  <c:v>1986.0</c:v>
                </c:pt>
                <c:pt idx="98">
                  <c:v>1986.0</c:v>
                </c:pt>
                <c:pt idx="99">
                  <c:v>1987.0</c:v>
                </c:pt>
                <c:pt idx="100">
                  <c:v>1987.0</c:v>
                </c:pt>
                <c:pt idx="101">
                  <c:v>1989.0</c:v>
                </c:pt>
                <c:pt idx="102">
                  <c:v>1990.0</c:v>
                </c:pt>
                <c:pt idx="103">
                  <c:v>1991.0</c:v>
                </c:pt>
                <c:pt idx="104">
                  <c:v>1994.0</c:v>
                </c:pt>
                <c:pt idx="105">
                  <c:v>1998.0</c:v>
                </c:pt>
                <c:pt idx="106">
                  <c:v>1999.0</c:v>
                </c:pt>
                <c:pt idx="107">
                  <c:v>2000.0</c:v>
                </c:pt>
                <c:pt idx="108">
                  <c:v>2001.0</c:v>
                </c:pt>
                <c:pt idx="109">
                  <c:v>2001.0</c:v>
                </c:pt>
                <c:pt idx="110">
                  <c:v>2001.0</c:v>
                </c:pt>
                <c:pt idx="111">
                  <c:v>2001.0</c:v>
                </c:pt>
                <c:pt idx="112">
                  <c:v>2003.0</c:v>
                </c:pt>
                <c:pt idx="113">
                  <c:v>2004.0</c:v>
                </c:pt>
                <c:pt idx="114">
                  <c:v>2006.0</c:v>
                </c:pt>
                <c:pt idx="115">
                  <c:v>2006.0</c:v>
                </c:pt>
                <c:pt idx="116">
                  <c:v>2006.0</c:v>
                </c:pt>
                <c:pt idx="117">
                  <c:v>2007.0</c:v>
                </c:pt>
                <c:pt idx="118">
                  <c:v>2007.0</c:v>
                </c:pt>
                <c:pt idx="119">
                  <c:v>2009.0</c:v>
                </c:pt>
                <c:pt idx="120">
                  <c:v>2010.0</c:v>
                </c:pt>
                <c:pt idx="121">
                  <c:v>2010.0</c:v>
                </c:pt>
                <c:pt idx="122">
                  <c:v>2010.0</c:v>
                </c:pt>
                <c:pt idx="123">
                  <c:v>2011.0</c:v>
                </c:pt>
                <c:pt idx="124">
                  <c:v>2015.0</c:v>
                </c:pt>
                <c:pt idx="125">
                  <c:v>2020.0</c:v>
                </c:pt>
                <c:pt idx="126">
                  <c:v>2021.0</c:v>
                </c:pt>
                <c:pt idx="127">
                  <c:v>2022.0</c:v>
                </c:pt>
                <c:pt idx="128">
                  <c:v>2022.0</c:v>
                </c:pt>
                <c:pt idx="129">
                  <c:v>2022.0</c:v>
                </c:pt>
                <c:pt idx="130">
                  <c:v>2023.0</c:v>
                </c:pt>
                <c:pt idx="131">
                  <c:v>2023.0</c:v>
                </c:pt>
                <c:pt idx="132">
                  <c:v>2025.0</c:v>
                </c:pt>
                <c:pt idx="133">
                  <c:v>2026.0</c:v>
                </c:pt>
                <c:pt idx="134">
                  <c:v>2027.0</c:v>
                </c:pt>
                <c:pt idx="135">
                  <c:v>2028.0</c:v>
                </c:pt>
                <c:pt idx="136">
                  <c:v>2028.0</c:v>
                </c:pt>
                <c:pt idx="137">
                  <c:v>2028.0</c:v>
                </c:pt>
                <c:pt idx="138">
                  <c:v>2028.0</c:v>
                </c:pt>
                <c:pt idx="139">
                  <c:v>2029.0</c:v>
                </c:pt>
                <c:pt idx="140">
                  <c:v>2029.0</c:v>
                </c:pt>
                <c:pt idx="141">
                  <c:v>2029.0</c:v>
                </c:pt>
                <c:pt idx="142">
                  <c:v>2029.0</c:v>
                </c:pt>
                <c:pt idx="143">
                  <c:v>2029.0</c:v>
                </c:pt>
                <c:pt idx="144">
                  <c:v>2030.0</c:v>
                </c:pt>
                <c:pt idx="145">
                  <c:v>2031.0</c:v>
                </c:pt>
                <c:pt idx="146">
                  <c:v>2035.0</c:v>
                </c:pt>
                <c:pt idx="147">
                  <c:v>2035.0</c:v>
                </c:pt>
                <c:pt idx="148">
                  <c:v>2035.0</c:v>
                </c:pt>
                <c:pt idx="149">
                  <c:v>2035.0</c:v>
                </c:pt>
                <c:pt idx="150">
                  <c:v>2037.0</c:v>
                </c:pt>
                <c:pt idx="151">
                  <c:v>2038.0</c:v>
                </c:pt>
                <c:pt idx="152">
                  <c:v>2039.0</c:v>
                </c:pt>
                <c:pt idx="153">
                  <c:v>2040.0</c:v>
                </c:pt>
                <c:pt idx="154">
                  <c:v>2040.0</c:v>
                </c:pt>
                <c:pt idx="155">
                  <c:v>2042.0</c:v>
                </c:pt>
                <c:pt idx="156">
                  <c:v>2042.0</c:v>
                </c:pt>
                <c:pt idx="157">
                  <c:v>2042.0</c:v>
                </c:pt>
                <c:pt idx="158">
                  <c:v>2044.0</c:v>
                </c:pt>
                <c:pt idx="159">
                  <c:v>2048.0</c:v>
                </c:pt>
                <c:pt idx="160">
                  <c:v>2049.0</c:v>
                </c:pt>
                <c:pt idx="161">
                  <c:v>2050.0</c:v>
                </c:pt>
                <c:pt idx="162">
                  <c:v>2050.0</c:v>
                </c:pt>
                <c:pt idx="163">
                  <c:v>2050.0</c:v>
                </c:pt>
                <c:pt idx="164">
                  <c:v>2051.0</c:v>
                </c:pt>
                <c:pt idx="165">
                  <c:v>2051.0</c:v>
                </c:pt>
                <c:pt idx="166">
                  <c:v>2056.0</c:v>
                </c:pt>
                <c:pt idx="167">
                  <c:v>2056.0</c:v>
                </c:pt>
                <c:pt idx="168">
                  <c:v>2057.0</c:v>
                </c:pt>
                <c:pt idx="169">
                  <c:v>2059.0</c:v>
                </c:pt>
                <c:pt idx="170">
                  <c:v>2067.0</c:v>
                </c:pt>
                <c:pt idx="171">
                  <c:v>2067.0</c:v>
                </c:pt>
                <c:pt idx="172">
                  <c:v>2071.0</c:v>
                </c:pt>
                <c:pt idx="173">
                  <c:v>2075.0</c:v>
                </c:pt>
                <c:pt idx="174">
                  <c:v>2075.0</c:v>
                </c:pt>
                <c:pt idx="175">
                  <c:v>2076.0</c:v>
                </c:pt>
                <c:pt idx="176">
                  <c:v>2078.0</c:v>
                </c:pt>
                <c:pt idx="177">
                  <c:v>2079.0</c:v>
                </c:pt>
                <c:pt idx="178">
                  <c:v>2096.0</c:v>
                </c:pt>
                <c:pt idx="179">
                  <c:v>2097.0</c:v>
                </c:pt>
                <c:pt idx="180">
                  <c:v>2100.0</c:v>
                </c:pt>
                <c:pt idx="181">
                  <c:v>2102.0</c:v>
                </c:pt>
                <c:pt idx="182">
                  <c:v>2116.0</c:v>
                </c:pt>
                <c:pt idx="183">
                  <c:v>2118.0</c:v>
                </c:pt>
                <c:pt idx="184">
                  <c:v>2120.0</c:v>
                </c:pt>
                <c:pt idx="185">
                  <c:v>2125.0</c:v>
                </c:pt>
                <c:pt idx="186">
                  <c:v>2129.0</c:v>
                </c:pt>
                <c:pt idx="187">
                  <c:v>2129.0</c:v>
                </c:pt>
                <c:pt idx="188">
                  <c:v>2130.0</c:v>
                </c:pt>
                <c:pt idx="189">
                  <c:v>2133.0</c:v>
                </c:pt>
                <c:pt idx="190">
                  <c:v>2140.0</c:v>
                </c:pt>
                <c:pt idx="191">
                  <c:v>2143.0</c:v>
                </c:pt>
                <c:pt idx="192">
                  <c:v>2152.0</c:v>
                </c:pt>
                <c:pt idx="193">
                  <c:v>2162.0</c:v>
                </c:pt>
                <c:pt idx="194">
                  <c:v>2169.0</c:v>
                </c:pt>
                <c:pt idx="195">
                  <c:v>2173.0</c:v>
                </c:pt>
                <c:pt idx="196">
                  <c:v>2175.0</c:v>
                </c:pt>
                <c:pt idx="197">
                  <c:v>2175.0</c:v>
                </c:pt>
                <c:pt idx="198">
                  <c:v>2183.0</c:v>
                </c:pt>
                <c:pt idx="199">
                  <c:v>2185.0</c:v>
                </c:pt>
                <c:pt idx="200">
                  <c:v>2206.0</c:v>
                </c:pt>
                <c:pt idx="201">
                  <c:v>2225.0</c:v>
                </c:pt>
                <c:pt idx="202">
                  <c:v>2226.0</c:v>
                </c:pt>
                <c:pt idx="203">
                  <c:v>2226.0</c:v>
                </c:pt>
                <c:pt idx="204">
                  <c:v>2242.0</c:v>
                </c:pt>
                <c:pt idx="205">
                  <c:v>2290.0</c:v>
                </c:pt>
                <c:pt idx="206">
                  <c:v>2300.0</c:v>
                </c:pt>
                <c:pt idx="207">
                  <c:v>2393.0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4"/>
          <c:order val="4"/>
          <c:tx>
            <c:v>1 Cent in two Weeks actual</c:v>
          </c:tx>
          <c:spPr>
            <a:ln>
              <a:noFill/>
            </a:ln>
          </c:spPr>
          <c:marker>
            <c:symbol val="circle"/>
            <c:size val="5"/>
            <c:spPr>
              <a:solidFill>
                <a:srgbClr val="C00000"/>
              </a:solidFill>
              <a:ln>
                <a:solidFill>
                  <a:srgbClr val="C00000"/>
                </a:solidFill>
              </a:ln>
            </c:spPr>
          </c:marker>
          <c:xVal>
            <c:numRef>
              <c:f>'Fig6 Data'!$I$214</c:f>
              <c:numCache>
                <c:formatCode>General</c:formatCode>
                <c:ptCount val="1"/>
                <c:pt idx="0">
                  <c:v>2004.0</c:v>
                </c:pt>
              </c:numCache>
            </c:numRef>
          </c:xVal>
          <c:yVal>
            <c:numRef>
              <c:f>'Fig6 Data'!$C$139</c:f>
              <c:numCache>
                <c:formatCode>General</c:formatCode>
                <c:ptCount val="1"/>
                <c:pt idx="0">
                  <c:v>0.653846153846154</c:v>
                </c:pt>
              </c:numCache>
            </c:numRef>
          </c:yVal>
          <c:smooth val="1"/>
        </c:ser>
        <c:ser>
          <c:idx val="5"/>
          <c:order val="5"/>
          <c:tx>
            <c:v>1 Cent in four Weeks actual</c:v>
          </c:tx>
          <c:spPr>
            <a:ln>
              <a:noFill/>
            </a:ln>
          </c:spPr>
          <c:marker>
            <c:symbol val="circle"/>
            <c:size val="5"/>
            <c:spPr>
              <a:solidFill>
                <a:srgbClr val="C00000"/>
              </a:solidFill>
              <a:ln>
                <a:solidFill>
                  <a:srgbClr val="C00000"/>
                </a:solidFill>
              </a:ln>
            </c:spPr>
          </c:marker>
          <c:xVal>
            <c:numRef>
              <c:f>'Fig6 Data'!$J$214</c:f>
              <c:numCache>
                <c:formatCode>General</c:formatCode>
                <c:ptCount val="1"/>
                <c:pt idx="0">
                  <c:v>1970.0</c:v>
                </c:pt>
              </c:numCache>
            </c:numRef>
          </c:xVal>
          <c:yVal>
            <c:numRef>
              <c:f>'Fig6 Data'!$C$120</c:f>
              <c:numCache>
                <c:formatCode>General</c:formatCode>
                <c:ptCount val="1"/>
                <c:pt idx="0">
                  <c:v>0.5625</c:v>
                </c:pt>
              </c:numCache>
            </c:numRef>
          </c:yVal>
          <c:smooth val="1"/>
        </c:ser>
        <c:ser>
          <c:idx val="6"/>
          <c:order val="6"/>
          <c:tx>
            <c:v>1% of Extra Payment actual</c:v>
          </c:tx>
          <c:spPr>
            <a:ln>
              <a:noFill/>
            </a:ln>
          </c:spPr>
          <c:marker>
            <c:symbol val="circle"/>
            <c:size val="5"/>
            <c:spPr>
              <a:solidFill>
                <a:srgbClr val="C00000"/>
              </a:solidFill>
              <a:ln>
                <a:solidFill>
                  <a:srgbClr val="C00000"/>
                </a:solidFill>
              </a:ln>
            </c:spPr>
          </c:marker>
          <c:xVal>
            <c:numRef>
              <c:f>'Fig6 Data'!$K$214</c:f>
              <c:numCache>
                <c:formatCode>General</c:formatCode>
                <c:ptCount val="1"/>
                <c:pt idx="0">
                  <c:v>1896.0</c:v>
                </c:pt>
              </c:numCache>
            </c:numRef>
          </c:xVal>
          <c:yVal>
            <c:numRef>
              <c:f>'Fig6 Data'!$C$76</c:f>
              <c:numCache>
                <c:formatCode>General</c:formatCode>
                <c:ptCount val="1"/>
                <c:pt idx="0">
                  <c:v>0.350961538461538</c:v>
                </c:pt>
              </c:numCache>
            </c:numRef>
          </c:yVal>
          <c:smooth val="1"/>
        </c:ser>
        <c:ser>
          <c:idx val="7"/>
          <c:order val="7"/>
          <c:tx>
            <c:v>Actual Effort Level</c:v>
          </c:tx>
          <c:spPr>
            <a:ln>
              <a:noFill/>
            </a:ln>
          </c:spPr>
          <c:marker>
            <c:symbol val="circle"/>
            <c:size val="5"/>
            <c:spPr>
              <a:solidFill>
                <a:srgbClr val="C00000"/>
              </a:solidFill>
              <a:ln>
                <a:solidFill>
                  <a:srgbClr val="C00000"/>
                </a:solidFill>
              </a:ln>
            </c:spPr>
          </c:marker>
          <c:xVal>
            <c:numRef>
              <c:f>'Fig6 Data'!$L$214</c:f>
              <c:numCache>
                <c:formatCode>General</c:formatCode>
                <c:ptCount val="1"/>
                <c:pt idx="0">
                  <c:v>1977.0</c:v>
                </c:pt>
              </c:numCache>
            </c:numRef>
          </c:xVal>
          <c:yVal>
            <c:numRef>
              <c:f>'Fig6 Data'!$C$96</c:f>
              <c:numCache>
                <c:formatCode>General</c:formatCode>
                <c:ptCount val="1"/>
                <c:pt idx="0">
                  <c:v>0.447115384615385</c:v>
                </c:pt>
              </c:numCache>
            </c:numRef>
          </c:yVal>
          <c:smooth val="1"/>
        </c:ser>
        <c:ser>
          <c:idx val="8"/>
          <c:order val="8"/>
          <c:tx>
            <c:v>20th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Data'!$AA$4:$AA$211</c:f>
              <c:numCache>
                <c:formatCode>0.00</c:formatCode>
                <c:ptCount val="208"/>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0.2</c:v>
                </c:pt>
                <c:pt idx="49">
                  <c:v>0.2</c:v>
                </c:pt>
                <c:pt idx="50">
                  <c:v>0.2</c:v>
                </c:pt>
                <c:pt idx="51">
                  <c:v>0.2</c:v>
                </c:pt>
                <c:pt idx="52">
                  <c:v>0.2</c:v>
                </c:pt>
                <c:pt idx="53">
                  <c:v>0.2</c:v>
                </c:pt>
                <c:pt idx="54">
                  <c:v>0.2</c:v>
                </c:pt>
                <c:pt idx="55">
                  <c:v>0.2</c:v>
                </c:pt>
                <c:pt idx="56">
                  <c:v>0.2</c:v>
                </c:pt>
                <c:pt idx="57">
                  <c:v>0.2</c:v>
                </c:pt>
                <c:pt idx="58">
                  <c:v>0.2</c:v>
                </c:pt>
                <c:pt idx="59">
                  <c:v>0.2</c:v>
                </c:pt>
                <c:pt idx="60">
                  <c:v>0.2</c:v>
                </c:pt>
                <c:pt idx="61">
                  <c:v>0.2</c:v>
                </c:pt>
                <c:pt idx="62">
                  <c:v>0.2</c:v>
                </c:pt>
                <c:pt idx="63">
                  <c:v>0.2</c:v>
                </c:pt>
                <c:pt idx="64">
                  <c:v>0.2</c:v>
                </c:pt>
                <c:pt idx="65">
                  <c:v>0.2</c:v>
                </c:pt>
                <c:pt idx="66">
                  <c:v>0.2</c:v>
                </c:pt>
                <c:pt idx="67">
                  <c:v>0.2</c:v>
                </c:pt>
                <c:pt idx="68">
                  <c:v>0.2</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0.2</c:v>
                </c:pt>
                <c:pt idx="85">
                  <c:v>0.2</c:v>
                </c:pt>
                <c:pt idx="86">
                  <c:v>0.2</c:v>
                </c:pt>
                <c:pt idx="87">
                  <c:v>0.2</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0.2</c:v>
                </c:pt>
                <c:pt idx="105">
                  <c:v>0.2</c:v>
                </c:pt>
                <c:pt idx="106">
                  <c:v>0.2</c:v>
                </c:pt>
                <c:pt idx="107">
                  <c:v>0.2</c:v>
                </c:pt>
                <c:pt idx="108">
                  <c:v>0.2</c:v>
                </c:pt>
                <c:pt idx="109">
                  <c:v>0.2</c:v>
                </c:pt>
                <c:pt idx="110">
                  <c:v>0.2</c:v>
                </c:pt>
                <c:pt idx="111">
                  <c:v>0.2</c:v>
                </c:pt>
                <c:pt idx="112">
                  <c:v>0.2</c:v>
                </c:pt>
                <c:pt idx="113">
                  <c:v>0.2</c:v>
                </c:pt>
                <c:pt idx="114">
                  <c:v>0.2</c:v>
                </c:pt>
                <c:pt idx="115">
                  <c:v>0.2</c:v>
                </c:pt>
                <c:pt idx="116">
                  <c:v>0.2</c:v>
                </c:pt>
                <c:pt idx="117">
                  <c:v>0.2</c:v>
                </c:pt>
                <c:pt idx="118">
                  <c:v>0.2</c:v>
                </c:pt>
                <c:pt idx="119">
                  <c:v>0.2</c:v>
                </c:pt>
                <c:pt idx="120">
                  <c:v>0.2</c:v>
                </c:pt>
                <c:pt idx="121">
                  <c:v>0.2</c:v>
                </c:pt>
                <c:pt idx="122">
                  <c:v>0.2</c:v>
                </c:pt>
                <c:pt idx="123">
                  <c:v>0.2</c:v>
                </c:pt>
                <c:pt idx="124">
                  <c:v>0.2</c:v>
                </c:pt>
                <c:pt idx="125">
                  <c:v>0.2</c:v>
                </c:pt>
                <c:pt idx="126">
                  <c:v>0.2</c:v>
                </c:pt>
                <c:pt idx="127">
                  <c:v>0.2</c:v>
                </c:pt>
                <c:pt idx="128">
                  <c:v>0.2</c:v>
                </c:pt>
                <c:pt idx="129">
                  <c:v>0.2</c:v>
                </c:pt>
                <c:pt idx="130">
                  <c:v>0.2</c:v>
                </c:pt>
                <c:pt idx="131">
                  <c:v>0.2</c:v>
                </c:pt>
                <c:pt idx="132">
                  <c:v>0.2</c:v>
                </c:pt>
                <c:pt idx="133">
                  <c:v>0.2</c:v>
                </c:pt>
                <c:pt idx="134">
                  <c:v>0.2</c:v>
                </c:pt>
                <c:pt idx="135">
                  <c:v>0.2</c:v>
                </c:pt>
                <c:pt idx="136">
                  <c:v>0.2</c:v>
                </c:pt>
                <c:pt idx="137">
                  <c:v>0.2</c:v>
                </c:pt>
                <c:pt idx="138">
                  <c:v>0.2</c:v>
                </c:pt>
                <c:pt idx="139">
                  <c:v>0.2</c:v>
                </c:pt>
                <c:pt idx="140">
                  <c:v>0.2</c:v>
                </c:pt>
                <c:pt idx="141">
                  <c:v>0.2</c:v>
                </c:pt>
                <c:pt idx="142">
                  <c:v>0.2</c:v>
                </c:pt>
                <c:pt idx="143">
                  <c:v>0.2</c:v>
                </c:pt>
                <c:pt idx="144">
                  <c:v>0.2</c:v>
                </c:pt>
                <c:pt idx="145">
                  <c:v>0.2</c:v>
                </c:pt>
                <c:pt idx="146">
                  <c:v>0.2</c:v>
                </c:pt>
                <c:pt idx="147">
                  <c:v>0.2</c:v>
                </c:pt>
                <c:pt idx="148">
                  <c:v>0.2</c:v>
                </c:pt>
                <c:pt idx="149">
                  <c:v>0.2</c:v>
                </c:pt>
                <c:pt idx="150">
                  <c:v>0.2</c:v>
                </c:pt>
                <c:pt idx="151">
                  <c:v>0.2</c:v>
                </c:pt>
                <c:pt idx="152">
                  <c:v>0.2</c:v>
                </c:pt>
                <c:pt idx="153">
                  <c:v>0.2</c:v>
                </c:pt>
                <c:pt idx="154">
                  <c:v>0.2</c:v>
                </c:pt>
                <c:pt idx="155">
                  <c:v>0.2</c:v>
                </c:pt>
                <c:pt idx="156">
                  <c:v>0.2</c:v>
                </c:pt>
                <c:pt idx="157">
                  <c:v>0.2</c:v>
                </c:pt>
                <c:pt idx="158">
                  <c:v>0.2</c:v>
                </c:pt>
                <c:pt idx="159">
                  <c:v>0.2</c:v>
                </c:pt>
                <c:pt idx="160">
                  <c:v>0.2</c:v>
                </c:pt>
                <c:pt idx="161">
                  <c:v>0.2</c:v>
                </c:pt>
                <c:pt idx="162">
                  <c:v>0.2</c:v>
                </c:pt>
                <c:pt idx="163">
                  <c:v>0.2</c:v>
                </c:pt>
                <c:pt idx="164">
                  <c:v>0.2</c:v>
                </c:pt>
                <c:pt idx="165">
                  <c:v>0.2</c:v>
                </c:pt>
                <c:pt idx="166">
                  <c:v>0.2</c:v>
                </c:pt>
                <c:pt idx="167">
                  <c:v>0.2</c:v>
                </c:pt>
                <c:pt idx="168">
                  <c:v>0.2</c:v>
                </c:pt>
                <c:pt idx="169">
                  <c:v>0.2</c:v>
                </c:pt>
                <c:pt idx="170">
                  <c:v>0.2</c:v>
                </c:pt>
                <c:pt idx="171">
                  <c:v>0.2</c:v>
                </c:pt>
                <c:pt idx="172">
                  <c:v>0.2</c:v>
                </c:pt>
                <c:pt idx="173">
                  <c:v>0.2</c:v>
                </c:pt>
                <c:pt idx="174">
                  <c:v>0.2</c:v>
                </c:pt>
                <c:pt idx="175">
                  <c:v>0.2</c:v>
                </c:pt>
                <c:pt idx="176">
                  <c:v>0.2</c:v>
                </c:pt>
                <c:pt idx="177">
                  <c:v>0.2</c:v>
                </c:pt>
                <c:pt idx="178">
                  <c:v>0.2</c:v>
                </c:pt>
                <c:pt idx="179">
                  <c:v>0.2</c:v>
                </c:pt>
                <c:pt idx="180">
                  <c:v>0.2</c:v>
                </c:pt>
                <c:pt idx="181">
                  <c:v>0.2</c:v>
                </c:pt>
                <c:pt idx="182">
                  <c:v>0.2</c:v>
                </c:pt>
                <c:pt idx="183">
                  <c:v>0.2</c:v>
                </c:pt>
                <c:pt idx="184">
                  <c:v>0.2</c:v>
                </c:pt>
                <c:pt idx="185">
                  <c:v>0.2</c:v>
                </c:pt>
                <c:pt idx="186">
                  <c:v>0.2</c:v>
                </c:pt>
                <c:pt idx="187">
                  <c:v>0.2</c:v>
                </c:pt>
                <c:pt idx="188">
                  <c:v>0.2</c:v>
                </c:pt>
                <c:pt idx="189">
                  <c:v>0.2</c:v>
                </c:pt>
                <c:pt idx="190">
                  <c:v>0.2</c:v>
                </c:pt>
                <c:pt idx="191">
                  <c:v>0.2</c:v>
                </c:pt>
                <c:pt idx="192">
                  <c:v>0.2</c:v>
                </c:pt>
                <c:pt idx="193">
                  <c:v>0.2</c:v>
                </c:pt>
                <c:pt idx="194">
                  <c:v>0.2</c:v>
                </c:pt>
                <c:pt idx="195">
                  <c:v>0.2</c:v>
                </c:pt>
                <c:pt idx="196">
                  <c:v>0.2</c:v>
                </c:pt>
                <c:pt idx="197">
                  <c:v>0.2</c:v>
                </c:pt>
                <c:pt idx="198">
                  <c:v>0.2</c:v>
                </c:pt>
                <c:pt idx="199">
                  <c:v>0.2</c:v>
                </c:pt>
                <c:pt idx="200">
                  <c:v>0.2</c:v>
                </c:pt>
                <c:pt idx="201">
                  <c:v>0.2</c:v>
                </c:pt>
                <c:pt idx="202">
                  <c:v>0.2</c:v>
                </c:pt>
                <c:pt idx="203">
                  <c:v>0.2</c:v>
                </c:pt>
                <c:pt idx="204">
                  <c:v>0.2</c:v>
                </c:pt>
                <c:pt idx="205">
                  <c:v>0.2</c:v>
                </c:pt>
                <c:pt idx="206">
                  <c:v>0.2</c:v>
                </c:pt>
                <c:pt idx="207">
                  <c:v>0.2</c:v>
                </c:pt>
              </c:numCache>
            </c:numRef>
          </c:yVal>
          <c:smooth val="1"/>
        </c:ser>
        <c:ser>
          <c:idx val="9"/>
          <c:order val="9"/>
          <c:tx>
            <c:v>Median</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Data'!$AB$4:$AB$211</c:f>
              <c:numCache>
                <c:formatCode>0.00</c:formatCode>
                <c:ptCount val="208"/>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numCache>
            </c:numRef>
          </c:yVal>
          <c:smooth val="1"/>
        </c:ser>
        <c:ser>
          <c:idx val="10"/>
          <c:order val="10"/>
          <c:tx>
            <c:v>80th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Data'!$AC$4:$AC$211</c:f>
              <c:numCache>
                <c:formatCode>0.00</c:formatCode>
                <c:ptCount val="208"/>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pt idx="32">
                  <c:v>0.8</c:v>
                </c:pt>
                <c:pt idx="33">
                  <c:v>0.8</c:v>
                </c:pt>
                <c:pt idx="34">
                  <c:v>0.8</c:v>
                </c:pt>
                <c:pt idx="35">
                  <c:v>0.8</c:v>
                </c:pt>
                <c:pt idx="36">
                  <c:v>0.8</c:v>
                </c:pt>
                <c:pt idx="37">
                  <c:v>0.8</c:v>
                </c:pt>
                <c:pt idx="38">
                  <c:v>0.8</c:v>
                </c:pt>
                <c:pt idx="39">
                  <c:v>0.8</c:v>
                </c:pt>
                <c:pt idx="40">
                  <c:v>0.8</c:v>
                </c:pt>
                <c:pt idx="41">
                  <c:v>0.8</c:v>
                </c:pt>
                <c:pt idx="42">
                  <c:v>0.8</c:v>
                </c:pt>
                <c:pt idx="43">
                  <c:v>0.8</c:v>
                </c:pt>
                <c:pt idx="44">
                  <c:v>0.8</c:v>
                </c:pt>
                <c:pt idx="45">
                  <c:v>0.8</c:v>
                </c:pt>
                <c:pt idx="46">
                  <c:v>0.8</c:v>
                </c:pt>
                <c:pt idx="47">
                  <c:v>0.8</c:v>
                </c:pt>
                <c:pt idx="48">
                  <c:v>0.8</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c:v>
                </c:pt>
                <c:pt idx="70">
                  <c:v>0.8</c:v>
                </c:pt>
                <c:pt idx="71">
                  <c:v>0.8</c:v>
                </c:pt>
                <c:pt idx="72">
                  <c:v>0.8</c:v>
                </c:pt>
                <c:pt idx="73">
                  <c:v>0.8</c:v>
                </c:pt>
                <c:pt idx="74">
                  <c:v>0.8</c:v>
                </c:pt>
                <c:pt idx="75">
                  <c:v>0.8</c:v>
                </c:pt>
                <c:pt idx="76">
                  <c:v>0.8</c:v>
                </c:pt>
                <c:pt idx="77">
                  <c:v>0.8</c:v>
                </c:pt>
                <c:pt idx="78">
                  <c:v>0.8</c:v>
                </c:pt>
                <c:pt idx="79">
                  <c:v>0.8</c:v>
                </c:pt>
                <c:pt idx="80">
                  <c:v>0.8</c:v>
                </c:pt>
                <c:pt idx="81">
                  <c:v>0.8</c:v>
                </c:pt>
                <c:pt idx="82">
                  <c:v>0.8</c:v>
                </c:pt>
                <c:pt idx="83">
                  <c:v>0.8</c:v>
                </c:pt>
                <c:pt idx="84">
                  <c:v>0.8</c:v>
                </c:pt>
                <c:pt idx="85">
                  <c:v>0.8</c:v>
                </c:pt>
                <c:pt idx="86">
                  <c:v>0.8</c:v>
                </c:pt>
                <c:pt idx="87">
                  <c:v>0.8</c:v>
                </c:pt>
                <c:pt idx="88">
                  <c:v>0.8</c:v>
                </c:pt>
                <c:pt idx="89">
                  <c:v>0.8</c:v>
                </c:pt>
                <c:pt idx="90">
                  <c:v>0.8</c:v>
                </c:pt>
                <c:pt idx="91">
                  <c:v>0.8</c:v>
                </c:pt>
                <c:pt idx="92">
                  <c:v>0.8</c:v>
                </c:pt>
                <c:pt idx="93">
                  <c:v>0.8</c:v>
                </c:pt>
                <c:pt idx="94">
                  <c:v>0.8</c:v>
                </c:pt>
                <c:pt idx="95">
                  <c:v>0.8</c:v>
                </c:pt>
                <c:pt idx="96">
                  <c:v>0.8</c:v>
                </c:pt>
                <c:pt idx="97">
                  <c:v>0.8</c:v>
                </c:pt>
                <c:pt idx="98">
                  <c:v>0.8</c:v>
                </c:pt>
                <c:pt idx="99">
                  <c:v>0.8</c:v>
                </c:pt>
                <c:pt idx="100">
                  <c:v>0.8</c:v>
                </c:pt>
                <c:pt idx="101">
                  <c:v>0.8</c:v>
                </c:pt>
                <c:pt idx="102">
                  <c:v>0.8</c:v>
                </c:pt>
                <c:pt idx="103">
                  <c:v>0.8</c:v>
                </c:pt>
                <c:pt idx="104">
                  <c:v>0.8</c:v>
                </c:pt>
                <c:pt idx="105">
                  <c:v>0.8</c:v>
                </c:pt>
                <c:pt idx="106">
                  <c:v>0.8</c:v>
                </c:pt>
                <c:pt idx="107">
                  <c:v>0.8</c:v>
                </c:pt>
                <c:pt idx="108">
                  <c:v>0.8</c:v>
                </c:pt>
                <c:pt idx="109">
                  <c:v>0.8</c:v>
                </c:pt>
                <c:pt idx="110">
                  <c:v>0.8</c:v>
                </c:pt>
                <c:pt idx="111">
                  <c:v>0.8</c:v>
                </c:pt>
                <c:pt idx="112">
                  <c:v>0.8</c:v>
                </c:pt>
                <c:pt idx="113">
                  <c:v>0.8</c:v>
                </c:pt>
                <c:pt idx="114">
                  <c:v>0.8</c:v>
                </c:pt>
                <c:pt idx="115">
                  <c:v>0.8</c:v>
                </c:pt>
                <c:pt idx="116">
                  <c:v>0.8</c:v>
                </c:pt>
                <c:pt idx="117">
                  <c:v>0.8</c:v>
                </c:pt>
                <c:pt idx="118">
                  <c:v>0.8</c:v>
                </c:pt>
                <c:pt idx="119">
                  <c:v>0.8</c:v>
                </c:pt>
                <c:pt idx="120">
                  <c:v>0.8</c:v>
                </c:pt>
                <c:pt idx="121">
                  <c:v>0.8</c:v>
                </c:pt>
                <c:pt idx="122">
                  <c:v>0.8</c:v>
                </c:pt>
                <c:pt idx="123">
                  <c:v>0.8</c:v>
                </c:pt>
                <c:pt idx="124">
                  <c:v>0.8</c:v>
                </c:pt>
                <c:pt idx="125">
                  <c:v>0.8</c:v>
                </c:pt>
                <c:pt idx="126">
                  <c:v>0.8</c:v>
                </c:pt>
                <c:pt idx="127">
                  <c:v>0.8</c:v>
                </c:pt>
                <c:pt idx="128">
                  <c:v>0.8</c:v>
                </c:pt>
                <c:pt idx="129">
                  <c:v>0.8</c:v>
                </c:pt>
                <c:pt idx="130">
                  <c:v>0.8</c:v>
                </c:pt>
                <c:pt idx="131">
                  <c:v>0.8</c:v>
                </c:pt>
                <c:pt idx="132">
                  <c:v>0.8</c:v>
                </c:pt>
                <c:pt idx="133">
                  <c:v>0.8</c:v>
                </c:pt>
                <c:pt idx="134">
                  <c:v>0.8</c:v>
                </c:pt>
                <c:pt idx="135">
                  <c:v>0.8</c:v>
                </c:pt>
                <c:pt idx="136">
                  <c:v>0.8</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pt idx="150">
                  <c:v>0.8</c:v>
                </c:pt>
                <c:pt idx="151">
                  <c:v>0.8</c:v>
                </c:pt>
                <c:pt idx="152">
                  <c:v>0.8</c:v>
                </c:pt>
                <c:pt idx="153">
                  <c:v>0.8</c:v>
                </c:pt>
                <c:pt idx="154">
                  <c:v>0.8</c:v>
                </c:pt>
                <c:pt idx="155">
                  <c:v>0.8</c:v>
                </c:pt>
                <c:pt idx="156">
                  <c:v>0.8</c:v>
                </c:pt>
                <c:pt idx="157">
                  <c:v>0.8</c:v>
                </c:pt>
                <c:pt idx="158">
                  <c:v>0.8</c:v>
                </c:pt>
                <c:pt idx="159">
                  <c:v>0.8</c:v>
                </c:pt>
                <c:pt idx="160">
                  <c:v>0.8</c:v>
                </c:pt>
                <c:pt idx="161">
                  <c:v>0.8</c:v>
                </c:pt>
                <c:pt idx="162">
                  <c:v>0.8</c:v>
                </c:pt>
                <c:pt idx="163">
                  <c:v>0.8</c:v>
                </c:pt>
                <c:pt idx="164">
                  <c:v>0.8</c:v>
                </c:pt>
                <c:pt idx="165">
                  <c:v>0.8</c:v>
                </c:pt>
                <c:pt idx="166">
                  <c:v>0.8</c:v>
                </c:pt>
                <c:pt idx="167">
                  <c:v>0.8</c:v>
                </c:pt>
                <c:pt idx="168">
                  <c:v>0.8</c:v>
                </c:pt>
                <c:pt idx="169">
                  <c:v>0.8</c:v>
                </c:pt>
                <c:pt idx="170">
                  <c:v>0.8</c:v>
                </c:pt>
                <c:pt idx="171">
                  <c:v>0.8</c:v>
                </c:pt>
                <c:pt idx="172">
                  <c:v>0.8</c:v>
                </c:pt>
                <c:pt idx="173">
                  <c:v>0.8</c:v>
                </c:pt>
                <c:pt idx="174">
                  <c:v>0.8</c:v>
                </c:pt>
                <c:pt idx="175">
                  <c:v>0.8</c:v>
                </c:pt>
                <c:pt idx="176">
                  <c:v>0.8</c:v>
                </c:pt>
                <c:pt idx="177">
                  <c:v>0.8</c:v>
                </c:pt>
                <c:pt idx="178">
                  <c:v>0.8</c:v>
                </c:pt>
                <c:pt idx="179">
                  <c:v>0.8</c:v>
                </c:pt>
                <c:pt idx="180">
                  <c:v>0.8</c:v>
                </c:pt>
                <c:pt idx="181">
                  <c:v>0.8</c:v>
                </c:pt>
                <c:pt idx="182">
                  <c:v>0.8</c:v>
                </c:pt>
                <c:pt idx="183">
                  <c:v>0.8</c:v>
                </c:pt>
                <c:pt idx="184">
                  <c:v>0.8</c:v>
                </c:pt>
                <c:pt idx="185">
                  <c:v>0.8</c:v>
                </c:pt>
                <c:pt idx="186">
                  <c:v>0.8</c:v>
                </c:pt>
                <c:pt idx="187">
                  <c:v>0.8</c:v>
                </c:pt>
                <c:pt idx="188">
                  <c:v>0.8</c:v>
                </c:pt>
                <c:pt idx="189">
                  <c:v>0.8</c:v>
                </c:pt>
                <c:pt idx="190">
                  <c:v>0.8</c:v>
                </c:pt>
                <c:pt idx="191">
                  <c:v>0.8</c:v>
                </c:pt>
                <c:pt idx="192">
                  <c:v>0.8</c:v>
                </c:pt>
                <c:pt idx="193">
                  <c:v>0.8</c:v>
                </c:pt>
                <c:pt idx="194">
                  <c:v>0.8</c:v>
                </c:pt>
                <c:pt idx="195">
                  <c:v>0.8</c:v>
                </c:pt>
                <c:pt idx="196">
                  <c:v>0.8</c:v>
                </c:pt>
                <c:pt idx="197">
                  <c:v>0.8</c:v>
                </c:pt>
                <c:pt idx="198">
                  <c:v>0.8</c:v>
                </c:pt>
                <c:pt idx="199">
                  <c:v>0.8</c:v>
                </c:pt>
                <c:pt idx="200">
                  <c:v>0.8</c:v>
                </c:pt>
                <c:pt idx="201">
                  <c:v>0.8</c:v>
                </c:pt>
                <c:pt idx="202">
                  <c:v>0.8</c:v>
                </c:pt>
                <c:pt idx="203">
                  <c:v>0.8</c:v>
                </c:pt>
                <c:pt idx="204">
                  <c:v>0.8</c:v>
                </c:pt>
                <c:pt idx="205">
                  <c:v>0.8</c:v>
                </c:pt>
                <c:pt idx="206">
                  <c:v>0.8</c:v>
                </c:pt>
                <c:pt idx="207">
                  <c:v>0.8</c:v>
                </c:pt>
              </c:numCache>
            </c:numRef>
          </c:yVal>
          <c:smooth val="1"/>
        </c:ser>
        <c:ser>
          <c:idx val="11"/>
          <c:order val="11"/>
          <c:tx>
            <c:v>Benchmark (no effect)</c:v>
          </c:tx>
          <c:spPr>
            <a:ln w="15875">
              <a:solidFill>
                <a:srgbClr val="C00000"/>
              </a:solidFill>
            </a:ln>
          </c:spPr>
          <c:marker>
            <c:symbol val="none"/>
          </c:marker>
          <c:xVal>
            <c:numRef>
              <c:f>'Fig6 Data'!$W$4:$W$211</c:f>
              <c:numCache>
                <c:formatCode>General</c:formatCode>
                <c:ptCount val="208"/>
                <c:pt idx="0">
                  <c:v>1521.0</c:v>
                </c:pt>
                <c:pt idx="1">
                  <c:v>1521.0</c:v>
                </c:pt>
                <c:pt idx="2">
                  <c:v>1521.0</c:v>
                </c:pt>
                <c:pt idx="3">
                  <c:v>1521.0</c:v>
                </c:pt>
                <c:pt idx="4">
                  <c:v>1521.0</c:v>
                </c:pt>
                <c:pt idx="5">
                  <c:v>1521.0</c:v>
                </c:pt>
                <c:pt idx="6">
                  <c:v>1521.0</c:v>
                </c:pt>
                <c:pt idx="7">
                  <c:v>1521.0</c:v>
                </c:pt>
                <c:pt idx="8">
                  <c:v>1521.0</c:v>
                </c:pt>
                <c:pt idx="9">
                  <c:v>1521.0</c:v>
                </c:pt>
                <c:pt idx="10">
                  <c:v>1521.0</c:v>
                </c:pt>
                <c:pt idx="11">
                  <c:v>1521.0</c:v>
                </c:pt>
                <c:pt idx="12">
                  <c:v>1521.0</c:v>
                </c:pt>
                <c:pt idx="13">
                  <c:v>1521.0</c:v>
                </c:pt>
                <c:pt idx="14">
                  <c:v>1521.0</c:v>
                </c:pt>
                <c:pt idx="15">
                  <c:v>1521.0</c:v>
                </c:pt>
                <c:pt idx="16">
                  <c:v>1521.0</c:v>
                </c:pt>
                <c:pt idx="17">
                  <c:v>1521.0</c:v>
                </c:pt>
                <c:pt idx="18">
                  <c:v>1521.0</c:v>
                </c:pt>
                <c:pt idx="19">
                  <c:v>1521.0</c:v>
                </c:pt>
                <c:pt idx="20">
                  <c:v>1521.0</c:v>
                </c:pt>
                <c:pt idx="21">
                  <c:v>1521.0</c:v>
                </c:pt>
                <c:pt idx="22">
                  <c:v>1521.0</c:v>
                </c:pt>
                <c:pt idx="23">
                  <c:v>1521.0</c:v>
                </c:pt>
                <c:pt idx="24">
                  <c:v>1521.0</c:v>
                </c:pt>
                <c:pt idx="25">
                  <c:v>1521.0</c:v>
                </c:pt>
                <c:pt idx="26">
                  <c:v>1521.0</c:v>
                </c:pt>
                <c:pt idx="27">
                  <c:v>1521.0</c:v>
                </c:pt>
                <c:pt idx="28">
                  <c:v>1521.0</c:v>
                </c:pt>
                <c:pt idx="29">
                  <c:v>1521.0</c:v>
                </c:pt>
                <c:pt idx="30">
                  <c:v>1521.0</c:v>
                </c:pt>
                <c:pt idx="31">
                  <c:v>1521.0</c:v>
                </c:pt>
                <c:pt idx="32">
                  <c:v>1521.0</c:v>
                </c:pt>
                <c:pt idx="33">
                  <c:v>1521.0</c:v>
                </c:pt>
                <c:pt idx="34">
                  <c:v>1521.0</c:v>
                </c:pt>
                <c:pt idx="35">
                  <c:v>1521.0</c:v>
                </c:pt>
                <c:pt idx="36">
                  <c:v>1521.0</c:v>
                </c:pt>
                <c:pt idx="37">
                  <c:v>1521.0</c:v>
                </c:pt>
                <c:pt idx="38">
                  <c:v>1521.0</c:v>
                </c:pt>
                <c:pt idx="39">
                  <c:v>1521.0</c:v>
                </c:pt>
                <c:pt idx="40">
                  <c:v>1521.0</c:v>
                </c:pt>
                <c:pt idx="41">
                  <c:v>1521.0</c:v>
                </c:pt>
                <c:pt idx="42">
                  <c:v>1521.0</c:v>
                </c:pt>
                <c:pt idx="43">
                  <c:v>1521.0</c:v>
                </c:pt>
                <c:pt idx="44">
                  <c:v>1521.0</c:v>
                </c:pt>
                <c:pt idx="45">
                  <c:v>1521.0</c:v>
                </c:pt>
                <c:pt idx="46">
                  <c:v>1521.0</c:v>
                </c:pt>
                <c:pt idx="47">
                  <c:v>1521.0</c:v>
                </c:pt>
                <c:pt idx="48">
                  <c:v>1521.0</c:v>
                </c:pt>
                <c:pt idx="49">
                  <c:v>1521.0</c:v>
                </c:pt>
                <c:pt idx="50">
                  <c:v>1521.0</c:v>
                </c:pt>
                <c:pt idx="51">
                  <c:v>1521.0</c:v>
                </c:pt>
                <c:pt idx="52">
                  <c:v>1521.0</c:v>
                </c:pt>
                <c:pt idx="53">
                  <c:v>1521.0</c:v>
                </c:pt>
                <c:pt idx="54">
                  <c:v>1521.0</c:v>
                </c:pt>
                <c:pt idx="55">
                  <c:v>1521.0</c:v>
                </c:pt>
                <c:pt idx="56">
                  <c:v>1521.0</c:v>
                </c:pt>
                <c:pt idx="57">
                  <c:v>1521.0</c:v>
                </c:pt>
                <c:pt idx="58">
                  <c:v>1521.0</c:v>
                </c:pt>
                <c:pt idx="59">
                  <c:v>1521.0</c:v>
                </c:pt>
                <c:pt idx="60">
                  <c:v>1521.0</c:v>
                </c:pt>
                <c:pt idx="61">
                  <c:v>1521.0</c:v>
                </c:pt>
                <c:pt idx="62">
                  <c:v>1521.0</c:v>
                </c:pt>
                <c:pt idx="63">
                  <c:v>1521.0</c:v>
                </c:pt>
                <c:pt idx="64">
                  <c:v>1521.0</c:v>
                </c:pt>
                <c:pt idx="65">
                  <c:v>1521.0</c:v>
                </c:pt>
                <c:pt idx="66">
                  <c:v>1521.0</c:v>
                </c:pt>
                <c:pt idx="67">
                  <c:v>1521.0</c:v>
                </c:pt>
                <c:pt idx="68">
                  <c:v>1521.0</c:v>
                </c:pt>
                <c:pt idx="69">
                  <c:v>1521.0</c:v>
                </c:pt>
                <c:pt idx="70">
                  <c:v>1521.0</c:v>
                </c:pt>
                <c:pt idx="71">
                  <c:v>1521.0</c:v>
                </c:pt>
                <c:pt idx="72">
                  <c:v>1521.0</c:v>
                </c:pt>
                <c:pt idx="73">
                  <c:v>1521.0</c:v>
                </c:pt>
                <c:pt idx="74">
                  <c:v>1521.0</c:v>
                </c:pt>
                <c:pt idx="75">
                  <c:v>1521.0</c:v>
                </c:pt>
                <c:pt idx="76">
                  <c:v>1521.0</c:v>
                </c:pt>
                <c:pt idx="77">
                  <c:v>1521.0</c:v>
                </c:pt>
                <c:pt idx="78">
                  <c:v>1521.0</c:v>
                </c:pt>
                <c:pt idx="79">
                  <c:v>1521.0</c:v>
                </c:pt>
                <c:pt idx="80">
                  <c:v>1521.0</c:v>
                </c:pt>
                <c:pt idx="81">
                  <c:v>1521.0</c:v>
                </c:pt>
                <c:pt idx="82">
                  <c:v>1521.0</c:v>
                </c:pt>
                <c:pt idx="83">
                  <c:v>1521.0</c:v>
                </c:pt>
                <c:pt idx="84">
                  <c:v>1521.0</c:v>
                </c:pt>
                <c:pt idx="85">
                  <c:v>1521.0</c:v>
                </c:pt>
                <c:pt idx="86">
                  <c:v>1521.0</c:v>
                </c:pt>
                <c:pt idx="87">
                  <c:v>1521.0</c:v>
                </c:pt>
                <c:pt idx="88">
                  <c:v>1521.0</c:v>
                </c:pt>
                <c:pt idx="89">
                  <c:v>1521.0</c:v>
                </c:pt>
                <c:pt idx="90">
                  <c:v>1521.0</c:v>
                </c:pt>
                <c:pt idx="91">
                  <c:v>1521.0</c:v>
                </c:pt>
                <c:pt idx="92">
                  <c:v>1521.0</c:v>
                </c:pt>
                <c:pt idx="93">
                  <c:v>1521.0</c:v>
                </c:pt>
                <c:pt idx="94">
                  <c:v>1521.0</c:v>
                </c:pt>
                <c:pt idx="95">
                  <c:v>1521.0</c:v>
                </c:pt>
                <c:pt idx="96">
                  <c:v>1521.0</c:v>
                </c:pt>
                <c:pt idx="97">
                  <c:v>1521.0</c:v>
                </c:pt>
                <c:pt idx="98">
                  <c:v>1521.0</c:v>
                </c:pt>
                <c:pt idx="99">
                  <c:v>1521.0</c:v>
                </c:pt>
                <c:pt idx="100">
                  <c:v>1521.0</c:v>
                </c:pt>
                <c:pt idx="101">
                  <c:v>1521.0</c:v>
                </c:pt>
                <c:pt idx="102">
                  <c:v>1521.0</c:v>
                </c:pt>
                <c:pt idx="103">
                  <c:v>1521.0</c:v>
                </c:pt>
                <c:pt idx="104">
                  <c:v>1521.0</c:v>
                </c:pt>
                <c:pt idx="105">
                  <c:v>1521.0</c:v>
                </c:pt>
                <c:pt idx="106">
                  <c:v>1521.0</c:v>
                </c:pt>
                <c:pt idx="107">
                  <c:v>1521.0</c:v>
                </c:pt>
                <c:pt idx="108">
                  <c:v>1521.0</c:v>
                </c:pt>
                <c:pt idx="109">
                  <c:v>1521.0</c:v>
                </c:pt>
                <c:pt idx="110">
                  <c:v>1521.0</c:v>
                </c:pt>
                <c:pt idx="111">
                  <c:v>1521.0</c:v>
                </c:pt>
                <c:pt idx="112">
                  <c:v>1521.0</c:v>
                </c:pt>
                <c:pt idx="113">
                  <c:v>1521.0</c:v>
                </c:pt>
                <c:pt idx="114">
                  <c:v>1521.0</c:v>
                </c:pt>
                <c:pt idx="115">
                  <c:v>1521.0</c:v>
                </c:pt>
                <c:pt idx="116">
                  <c:v>1521.0</c:v>
                </c:pt>
                <c:pt idx="117">
                  <c:v>1521.0</c:v>
                </c:pt>
                <c:pt idx="118">
                  <c:v>1521.0</c:v>
                </c:pt>
                <c:pt idx="119">
                  <c:v>1521.0</c:v>
                </c:pt>
                <c:pt idx="120">
                  <c:v>1521.0</c:v>
                </c:pt>
                <c:pt idx="121">
                  <c:v>1521.0</c:v>
                </c:pt>
                <c:pt idx="122">
                  <c:v>1521.0</c:v>
                </c:pt>
                <c:pt idx="123">
                  <c:v>1521.0</c:v>
                </c:pt>
                <c:pt idx="124">
                  <c:v>1521.0</c:v>
                </c:pt>
                <c:pt idx="125">
                  <c:v>1521.0</c:v>
                </c:pt>
                <c:pt idx="126">
                  <c:v>1521.0</c:v>
                </c:pt>
                <c:pt idx="127">
                  <c:v>1521.0</c:v>
                </c:pt>
                <c:pt idx="128">
                  <c:v>1521.0</c:v>
                </c:pt>
                <c:pt idx="129">
                  <c:v>1521.0</c:v>
                </c:pt>
                <c:pt idx="130">
                  <c:v>1521.0</c:v>
                </c:pt>
                <c:pt idx="131">
                  <c:v>1521.0</c:v>
                </c:pt>
                <c:pt idx="132">
                  <c:v>1521.0</c:v>
                </c:pt>
                <c:pt idx="133">
                  <c:v>1521.0</c:v>
                </c:pt>
                <c:pt idx="134">
                  <c:v>1521.0</c:v>
                </c:pt>
                <c:pt idx="135">
                  <c:v>1521.0</c:v>
                </c:pt>
                <c:pt idx="136">
                  <c:v>1521.0</c:v>
                </c:pt>
                <c:pt idx="137">
                  <c:v>1521.0</c:v>
                </c:pt>
                <c:pt idx="138">
                  <c:v>1521.0</c:v>
                </c:pt>
                <c:pt idx="139">
                  <c:v>1521.0</c:v>
                </c:pt>
                <c:pt idx="140">
                  <c:v>1521.0</c:v>
                </c:pt>
                <c:pt idx="141">
                  <c:v>1521.0</c:v>
                </c:pt>
                <c:pt idx="142">
                  <c:v>1521.0</c:v>
                </c:pt>
                <c:pt idx="143">
                  <c:v>1521.0</c:v>
                </c:pt>
                <c:pt idx="144">
                  <c:v>1521.0</c:v>
                </c:pt>
                <c:pt idx="145">
                  <c:v>1521.0</c:v>
                </c:pt>
                <c:pt idx="146">
                  <c:v>1521.0</c:v>
                </c:pt>
                <c:pt idx="147">
                  <c:v>1521.0</c:v>
                </c:pt>
                <c:pt idx="148">
                  <c:v>1521.0</c:v>
                </c:pt>
                <c:pt idx="149">
                  <c:v>1521.0</c:v>
                </c:pt>
                <c:pt idx="150">
                  <c:v>1521.0</c:v>
                </c:pt>
                <c:pt idx="151">
                  <c:v>1521.0</c:v>
                </c:pt>
                <c:pt idx="152">
                  <c:v>1521.0</c:v>
                </c:pt>
                <c:pt idx="153">
                  <c:v>1521.0</c:v>
                </c:pt>
                <c:pt idx="154">
                  <c:v>1521.0</c:v>
                </c:pt>
                <c:pt idx="155">
                  <c:v>1521.0</c:v>
                </c:pt>
                <c:pt idx="156">
                  <c:v>1521.0</c:v>
                </c:pt>
                <c:pt idx="157">
                  <c:v>1521.0</c:v>
                </c:pt>
                <c:pt idx="158">
                  <c:v>1521.0</c:v>
                </c:pt>
                <c:pt idx="159">
                  <c:v>1521.0</c:v>
                </c:pt>
                <c:pt idx="160">
                  <c:v>1521.0</c:v>
                </c:pt>
                <c:pt idx="161">
                  <c:v>1521.0</c:v>
                </c:pt>
                <c:pt idx="162">
                  <c:v>1521.0</c:v>
                </c:pt>
                <c:pt idx="163">
                  <c:v>1521.0</c:v>
                </c:pt>
                <c:pt idx="164">
                  <c:v>1521.0</c:v>
                </c:pt>
                <c:pt idx="165">
                  <c:v>1521.0</c:v>
                </c:pt>
                <c:pt idx="166">
                  <c:v>1521.0</c:v>
                </c:pt>
                <c:pt idx="167">
                  <c:v>1521.0</c:v>
                </c:pt>
                <c:pt idx="168">
                  <c:v>1521.0</c:v>
                </c:pt>
                <c:pt idx="169">
                  <c:v>1521.0</c:v>
                </c:pt>
                <c:pt idx="170">
                  <c:v>1521.0</c:v>
                </c:pt>
                <c:pt idx="171">
                  <c:v>1521.0</c:v>
                </c:pt>
                <c:pt idx="172">
                  <c:v>1521.0</c:v>
                </c:pt>
                <c:pt idx="173">
                  <c:v>1521.0</c:v>
                </c:pt>
                <c:pt idx="174">
                  <c:v>1521.0</c:v>
                </c:pt>
                <c:pt idx="175">
                  <c:v>1521.0</c:v>
                </c:pt>
                <c:pt idx="176">
                  <c:v>1521.0</c:v>
                </c:pt>
                <c:pt idx="177">
                  <c:v>1521.0</c:v>
                </c:pt>
                <c:pt idx="178">
                  <c:v>1521.0</c:v>
                </c:pt>
                <c:pt idx="179">
                  <c:v>1521.0</c:v>
                </c:pt>
                <c:pt idx="180">
                  <c:v>1521.0</c:v>
                </c:pt>
                <c:pt idx="181">
                  <c:v>1521.0</c:v>
                </c:pt>
                <c:pt idx="182">
                  <c:v>1521.0</c:v>
                </c:pt>
                <c:pt idx="183">
                  <c:v>1521.0</c:v>
                </c:pt>
                <c:pt idx="184">
                  <c:v>1521.0</c:v>
                </c:pt>
                <c:pt idx="185">
                  <c:v>1521.0</c:v>
                </c:pt>
                <c:pt idx="186">
                  <c:v>1521.0</c:v>
                </c:pt>
                <c:pt idx="187">
                  <c:v>1521.0</c:v>
                </c:pt>
                <c:pt idx="188">
                  <c:v>1521.0</c:v>
                </c:pt>
                <c:pt idx="189">
                  <c:v>1521.0</c:v>
                </c:pt>
                <c:pt idx="190">
                  <c:v>1521.0</c:v>
                </c:pt>
                <c:pt idx="191">
                  <c:v>1521.0</c:v>
                </c:pt>
                <c:pt idx="192">
                  <c:v>1521.0</c:v>
                </c:pt>
                <c:pt idx="193">
                  <c:v>1521.0</c:v>
                </c:pt>
                <c:pt idx="194">
                  <c:v>1521.0</c:v>
                </c:pt>
                <c:pt idx="195">
                  <c:v>1521.0</c:v>
                </c:pt>
                <c:pt idx="196">
                  <c:v>1521.0</c:v>
                </c:pt>
                <c:pt idx="197">
                  <c:v>1521.0</c:v>
                </c:pt>
                <c:pt idx="198">
                  <c:v>1521.0</c:v>
                </c:pt>
                <c:pt idx="199">
                  <c:v>1521.0</c:v>
                </c:pt>
                <c:pt idx="200">
                  <c:v>1521.0</c:v>
                </c:pt>
                <c:pt idx="201">
                  <c:v>1521.0</c:v>
                </c:pt>
                <c:pt idx="202">
                  <c:v>1521.0</c:v>
                </c:pt>
                <c:pt idx="203">
                  <c:v>1521.0</c:v>
                </c:pt>
                <c:pt idx="204">
                  <c:v>1521.0</c:v>
                </c:pt>
                <c:pt idx="205">
                  <c:v>1521.0</c:v>
                </c:pt>
                <c:pt idx="206">
                  <c:v>1521.0</c:v>
                </c:pt>
                <c:pt idx="207">
                  <c:v>1521.0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2"/>
          <c:order val="12"/>
          <c:tx>
            <c:v>Benchmark (1 Cent)</c:v>
          </c:tx>
          <c:spPr>
            <a:ln w="15875">
              <a:solidFill>
                <a:srgbClr val="C00000"/>
              </a:solidFill>
            </a:ln>
          </c:spPr>
          <c:marker>
            <c:symbol val="none"/>
          </c:marker>
          <c:xVal>
            <c:numRef>
              <c:f>'Fig6 Data'!$X$4:$X$211</c:f>
              <c:numCache>
                <c:formatCode>General</c:formatCode>
                <c:ptCount val="208"/>
                <c:pt idx="0">
                  <c:v>2029.0</c:v>
                </c:pt>
                <c:pt idx="1">
                  <c:v>2029.0</c:v>
                </c:pt>
                <c:pt idx="2">
                  <c:v>2029.0</c:v>
                </c:pt>
                <c:pt idx="3">
                  <c:v>2029.0</c:v>
                </c:pt>
                <c:pt idx="4">
                  <c:v>2029.0</c:v>
                </c:pt>
                <c:pt idx="5">
                  <c:v>2029.0</c:v>
                </c:pt>
                <c:pt idx="6">
                  <c:v>2029.0</c:v>
                </c:pt>
                <c:pt idx="7">
                  <c:v>2029.0</c:v>
                </c:pt>
                <c:pt idx="8">
                  <c:v>2029.0</c:v>
                </c:pt>
                <c:pt idx="9">
                  <c:v>2029.0</c:v>
                </c:pt>
                <c:pt idx="10">
                  <c:v>2029.0</c:v>
                </c:pt>
                <c:pt idx="11">
                  <c:v>2029.0</c:v>
                </c:pt>
                <c:pt idx="12">
                  <c:v>2029.0</c:v>
                </c:pt>
                <c:pt idx="13">
                  <c:v>2029.0</c:v>
                </c:pt>
                <c:pt idx="14">
                  <c:v>2029.0</c:v>
                </c:pt>
                <c:pt idx="15">
                  <c:v>2029.0</c:v>
                </c:pt>
                <c:pt idx="16">
                  <c:v>2029.0</c:v>
                </c:pt>
                <c:pt idx="17">
                  <c:v>2029.0</c:v>
                </c:pt>
                <c:pt idx="18">
                  <c:v>2029.0</c:v>
                </c:pt>
                <c:pt idx="19">
                  <c:v>2029.0</c:v>
                </c:pt>
                <c:pt idx="20">
                  <c:v>2029.0</c:v>
                </c:pt>
                <c:pt idx="21">
                  <c:v>2029.0</c:v>
                </c:pt>
                <c:pt idx="22">
                  <c:v>2029.0</c:v>
                </c:pt>
                <c:pt idx="23">
                  <c:v>2029.0</c:v>
                </c:pt>
                <c:pt idx="24">
                  <c:v>2029.0</c:v>
                </c:pt>
                <c:pt idx="25">
                  <c:v>2029.0</c:v>
                </c:pt>
                <c:pt idx="26">
                  <c:v>2029.0</c:v>
                </c:pt>
                <c:pt idx="27">
                  <c:v>2029.0</c:v>
                </c:pt>
                <c:pt idx="28">
                  <c:v>2029.0</c:v>
                </c:pt>
                <c:pt idx="29">
                  <c:v>2029.0</c:v>
                </c:pt>
                <c:pt idx="30">
                  <c:v>2029.0</c:v>
                </c:pt>
                <c:pt idx="31">
                  <c:v>2029.0</c:v>
                </c:pt>
                <c:pt idx="32">
                  <c:v>2029.0</c:v>
                </c:pt>
                <c:pt idx="33">
                  <c:v>2029.0</c:v>
                </c:pt>
                <c:pt idx="34">
                  <c:v>2029.0</c:v>
                </c:pt>
                <c:pt idx="35">
                  <c:v>2029.0</c:v>
                </c:pt>
                <c:pt idx="36">
                  <c:v>2029.0</c:v>
                </c:pt>
                <c:pt idx="37">
                  <c:v>2029.0</c:v>
                </c:pt>
                <c:pt idx="38">
                  <c:v>2029.0</c:v>
                </c:pt>
                <c:pt idx="39">
                  <c:v>2029.0</c:v>
                </c:pt>
                <c:pt idx="40">
                  <c:v>2029.0</c:v>
                </c:pt>
                <c:pt idx="41">
                  <c:v>2029.0</c:v>
                </c:pt>
                <c:pt idx="42">
                  <c:v>2029.0</c:v>
                </c:pt>
                <c:pt idx="43">
                  <c:v>2029.0</c:v>
                </c:pt>
                <c:pt idx="44">
                  <c:v>2029.0</c:v>
                </c:pt>
                <c:pt idx="45">
                  <c:v>2029.0</c:v>
                </c:pt>
                <c:pt idx="46">
                  <c:v>2029.0</c:v>
                </c:pt>
                <c:pt idx="47">
                  <c:v>2029.0</c:v>
                </c:pt>
                <c:pt idx="48">
                  <c:v>2029.0</c:v>
                </c:pt>
                <c:pt idx="49">
                  <c:v>2029.0</c:v>
                </c:pt>
                <c:pt idx="50">
                  <c:v>2029.0</c:v>
                </c:pt>
                <c:pt idx="51">
                  <c:v>2029.0</c:v>
                </c:pt>
                <c:pt idx="52">
                  <c:v>2029.0</c:v>
                </c:pt>
                <c:pt idx="53">
                  <c:v>2029.0</c:v>
                </c:pt>
                <c:pt idx="54">
                  <c:v>2029.0</c:v>
                </c:pt>
                <c:pt idx="55">
                  <c:v>2029.0</c:v>
                </c:pt>
                <c:pt idx="56">
                  <c:v>2029.0</c:v>
                </c:pt>
                <c:pt idx="57">
                  <c:v>2029.0</c:v>
                </c:pt>
                <c:pt idx="58">
                  <c:v>2029.0</c:v>
                </c:pt>
                <c:pt idx="59">
                  <c:v>2029.0</c:v>
                </c:pt>
                <c:pt idx="60">
                  <c:v>2029.0</c:v>
                </c:pt>
                <c:pt idx="61">
                  <c:v>2029.0</c:v>
                </c:pt>
                <c:pt idx="62">
                  <c:v>2029.0</c:v>
                </c:pt>
                <c:pt idx="63">
                  <c:v>2029.0</c:v>
                </c:pt>
                <c:pt idx="64">
                  <c:v>2029.0</c:v>
                </c:pt>
                <c:pt idx="65">
                  <c:v>2029.0</c:v>
                </c:pt>
                <c:pt idx="66">
                  <c:v>2029.0</c:v>
                </c:pt>
                <c:pt idx="67">
                  <c:v>2029.0</c:v>
                </c:pt>
                <c:pt idx="68">
                  <c:v>2029.0</c:v>
                </c:pt>
                <c:pt idx="69">
                  <c:v>2029.0</c:v>
                </c:pt>
                <c:pt idx="70">
                  <c:v>2029.0</c:v>
                </c:pt>
                <c:pt idx="71">
                  <c:v>2029.0</c:v>
                </c:pt>
                <c:pt idx="72">
                  <c:v>2029.0</c:v>
                </c:pt>
                <c:pt idx="73">
                  <c:v>2029.0</c:v>
                </c:pt>
                <c:pt idx="74">
                  <c:v>2029.0</c:v>
                </c:pt>
                <c:pt idx="75">
                  <c:v>2029.0</c:v>
                </c:pt>
                <c:pt idx="76">
                  <c:v>2029.0</c:v>
                </c:pt>
                <c:pt idx="77">
                  <c:v>2029.0</c:v>
                </c:pt>
                <c:pt idx="78">
                  <c:v>2029.0</c:v>
                </c:pt>
                <c:pt idx="79">
                  <c:v>2029.0</c:v>
                </c:pt>
                <c:pt idx="80">
                  <c:v>2029.0</c:v>
                </c:pt>
                <c:pt idx="81">
                  <c:v>2029.0</c:v>
                </c:pt>
                <c:pt idx="82">
                  <c:v>2029.0</c:v>
                </c:pt>
                <c:pt idx="83">
                  <c:v>2029.0</c:v>
                </c:pt>
                <c:pt idx="84">
                  <c:v>2029.0</c:v>
                </c:pt>
                <c:pt idx="85">
                  <c:v>2029.0</c:v>
                </c:pt>
                <c:pt idx="86">
                  <c:v>2029.0</c:v>
                </c:pt>
                <c:pt idx="87">
                  <c:v>2029.0</c:v>
                </c:pt>
                <c:pt idx="88">
                  <c:v>2029.0</c:v>
                </c:pt>
                <c:pt idx="89">
                  <c:v>2029.0</c:v>
                </c:pt>
                <c:pt idx="90">
                  <c:v>2029.0</c:v>
                </c:pt>
                <c:pt idx="91">
                  <c:v>2029.0</c:v>
                </c:pt>
                <c:pt idx="92">
                  <c:v>2029.0</c:v>
                </c:pt>
                <c:pt idx="93">
                  <c:v>2029.0</c:v>
                </c:pt>
                <c:pt idx="94">
                  <c:v>2029.0</c:v>
                </c:pt>
                <c:pt idx="95">
                  <c:v>2029.0</c:v>
                </c:pt>
                <c:pt idx="96">
                  <c:v>2029.0</c:v>
                </c:pt>
                <c:pt idx="97">
                  <c:v>2029.0</c:v>
                </c:pt>
                <c:pt idx="98">
                  <c:v>2029.0</c:v>
                </c:pt>
                <c:pt idx="99">
                  <c:v>2029.0</c:v>
                </c:pt>
                <c:pt idx="100">
                  <c:v>2029.0</c:v>
                </c:pt>
                <c:pt idx="101">
                  <c:v>2029.0</c:v>
                </c:pt>
                <c:pt idx="102">
                  <c:v>2029.0</c:v>
                </c:pt>
                <c:pt idx="103">
                  <c:v>2029.0</c:v>
                </c:pt>
                <c:pt idx="104">
                  <c:v>2029.0</c:v>
                </c:pt>
                <c:pt idx="105">
                  <c:v>2029.0</c:v>
                </c:pt>
                <c:pt idx="106">
                  <c:v>2029.0</c:v>
                </c:pt>
                <c:pt idx="107">
                  <c:v>2029.0</c:v>
                </c:pt>
                <c:pt idx="108">
                  <c:v>2029.0</c:v>
                </c:pt>
                <c:pt idx="109">
                  <c:v>2029.0</c:v>
                </c:pt>
                <c:pt idx="110">
                  <c:v>2029.0</c:v>
                </c:pt>
                <c:pt idx="111">
                  <c:v>2029.0</c:v>
                </c:pt>
                <c:pt idx="112">
                  <c:v>2029.0</c:v>
                </c:pt>
                <c:pt idx="113">
                  <c:v>2029.0</c:v>
                </c:pt>
                <c:pt idx="114">
                  <c:v>2029.0</c:v>
                </c:pt>
                <c:pt idx="115">
                  <c:v>2029.0</c:v>
                </c:pt>
                <c:pt idx="116">
                  <c:v>2029.0</c:v>
                </c:pt>
                <c:pt idx="117">
                  <c:v>2029.0</c:v>
                </c:pt>
                <c:pt idx="118">
                  <c:v>2029.0</c:v>
                </c:pt>
                <c:pt idx="119">
                  <c:v>2029.0</c:v>
                </c:pt>
                <c:pt idx="120">
                  <c:v>2029.0</c:v>
                </c:pt>
                <c:pt idx="121">
                  <c:v>2029.0</c:v>
                </c:pt>
                <c:pt idx="122">
                  <c:v>2029.0</c:v>
                </c:pt>
                <c:pt idx="123">
                  <c:v>2029.0</c:v>
                </c:pt>
                <c:pt idx="124">
                  <c:v>2029.0</c:v>
                </c:pt>
                <c:pt idx="125">
                  <c:v>2029.0</c:v>
                </c:pt>
                <c:pt idx="126">
                  <c:v>2029.0</c:v>
                </c:pt>
                <c:pt idx="127">
                  <c:v>2029.0</c:v>
                </c:pt>
                <c:pt idx="128">
                  <c:v>2029.0</c:v>
                </c:pt>
                <c:pt idx="129">
                  <c:v>2029.0</c:v>
                </c:pt>
                <c:pt idx="130">
                  <c:v>2029.0</c:v>
                </c:pt>
                <c:pt idx="131">
                  <c:v>2029.0</c:v>
                </c:pt>
                <c:pt idx="132">
                  <c:v>2029.0</c:v>
                </c:pt>
                <c:pt idx="133">
                  <c:v>2029.0</c:v>
                </c:pt>
                <c:pt idx="134">
                  <c:v>2029.0</c:v>
                </c:pt>
                <c:pt idx="135">
                  <c:v>2029.0</c:v>
                </c:pt>
                <c:pt idx="136">
                  <c:v>2029.0</c:v>
                </c:pt>
                <c:pt idx="137">
                  <c:v>2029.0</c:v>
                </c:pt>
                <c:pt idx="138">
                  <c:v>2029.0</c:v>
                </c:pt>
                <c:pt idx="139">
                  <c:v>2029.0</c:v>
                </c:pt>
                <c:pt idx="140">
                  <c:v>2029.0</c:v>
                </c:pt>
                <c:pt idx="141">
                  <c:v>2029.0</c:v>
                </c:pt>
                <c:pt idx="142">
                  <c:v>2029.0</c:v>
                </c:pt>
                <c:pt idx="143">
                  <c:v>2029.0</c:v>
                </c:pt>
                <c:pt idx="144">
                  <c:v>2029.0</c:v>
                </c:pt>
                <c:pt idx="145">
                  <c:v>2029.0</c:v>
                </c:pt>
                <c:pt idx="146">
                  <c:v>2029.0</c:v>
                </c:pt>
                <c:pt idx="147">
                  <c:v>2029.0</c:v>
                </c:pt>
                <c:pt idx="148">
                  <c:v>2029.0</c:v>
                </c:pt>
                <c:pt idx="149">
                  <c:v>2029.0</c:v>
                </c:pt>
                <c:pt idx="150">
                  <c:v>2029.0</c:v>
                </c:pt>
                <c:pt idx="151">
                  <c:v>2029.0</c:v>
                </c:pt>
                <c:pt idx="152">
                  <c:v>2029.0</c:v>
                </c:pt>
                <c:pt idx="153">
                  <c:v>2029.0</c:v>
                </c:pt>
                <c:pt idx="154">
                  <c:v>2029.0</c:v>
                </c:pt>
                <c:pt idx="155">
                  <c:v>2029.0</c:v>
                </c:pt>
                <c:pt idx="156">
                  <c:v>2029.0</c:v>
                </c:pt>
                <c:pt idx="157">
                  <c:v>2029.0</c:v>
                </c:pt>
                <c:pt idx="158">
                  <c:v>2029.0</c:v>
                </c:pt>
                <c:pt idx="159">
                  <c:v>2029.0</c:v>
                </c:pt>
                <c:pt idx="160">
                  <c:v>2029.0</c:v>
                </c:pt>
                <c:pt idx="161">
                  <c:v>2029.0</c:v>
                </c:pt>
                <c:pt idx="162">
                  <c:v>2029.0</c:v>
                </c:pt>
                <c:pt idx="163">
                  <c:v>2029.0</c:v>
                </c:pt>
                <c:pt idx="164">
                  <c:v>2029.0</c:v>
                </c:pt>
                <c:pt idx="165">
                  <c:v>2029.0</c:v>
                </c:pt>
                <c:pt idx="166">
                  <c:v>2029.0</c:v>
                </c:pt>
                <c:pt idx="167">
                  <c:v>2029.0</c:v>
                </c:pt>
                <c:pt idx="168">
                  <c:v>2029.0</c:v>
                </c:pt>
                <c:pt idx="169">
                  <c:v>2029.0</c:v>
                </c:pt>
                <c:pt idx="170">
                  <c:v>2029.0</c:v>
                </c:pt>
                <c:pt idx="171">
                  <c:v>2029.0</c:v>
                </c:pt>
                <c:pt idx="172">
                  <c:v>2029.0</c:v>
                </c:pt>
                <c:pt idx="173">
                  <c:v>2029.0</c:v>
                </c:pt>
                <c:pt idx="174">
                  <c:v>2029.0</c:v>
                </c:pt>
                <c:pt idx="175">
                  <c:v>2029.0</c:v>
                </c:pt>
                <c:pt idx="176">
                  <c:v>2029.0</c:v>
                </c:pt>
                <c:pt idx="177">
                  <c:v>2029.0</c:v>
                </c:pt>
                <c:pt idx="178">
                  <c:v>2029.0</c:v>
                </c:pt>
                <c:pt idx="179">
                  <c:v>2029.0</c:v>
                </c:pt>
                <c:pt idx="180">
                  <c:v>2029.0</c:v>
                </c:pt>
                <c:pt idx="181">
                  <c:v>2029.0</c:v>
                </c:pt>
                <c:pt idx="182">
                  <c:v>2029.0</c:v>
                </c:pt>
                <c:pt idx="183">
                  <c:v>2029.0</c:v>
                </c:pt>
                <c:pt idx="184">
                  <c:v>2029.0</c:v>
                </c:pt>
                <c:pt idx="185">
                  <c:v>2029.0</c:v>
                </c:pt>
                <c:pt idx="186">
                  <c:v>2029.0</c:v>
                </c:pt>
                <c:pt idx="187">
                  <c:v>2029.0</c:v>
                </c:pt>
                <c:pt idx="188">
                  <c:v>2029.0</c:v>
                </c:pt>
                <c:pt idx="189">
                  <c:v>2029.0</c:v>
                </c:pt>
                <c:pt idx="190">
                  <c:v>2029.0</c:v>
                </c:pt>
                <c:pt idx="191">
                  <c:v>2029.0</c:v>
                </c:pt>
                <c:pt idx="192">
                  <c:v>2029.0</c:v>
                </c:pt>
                <c:pt idx="193">
                  <c:v>2029.0</c:v>
                </c:pt>
                <c:pt idx="194">
                  <c:v>2029.0</c:v>
                </c:pt>
                <c:pt idx="195">
                  <c:v>2029.0</c:v>
                </c:pt>
                <c:pt idx="196">
                  <c:v>2029.0</c:v>
                </c:pt>
                <c:pt idx="197">
                  <c:v>2029.0</c:v>
                </c:pt>
                <c:pt idx="198">
                  <c:v>2029.0</c:v>
                </c:pt>
                <c:pt idx="199">
                  <c:v>2029.0</c:v>
                </c:pt>
                <c:pt idx="200">
                  <c:v>2029.0</c:v>
                </c:pt>
                <c:pt idx="201">
                  <c:v>2029.0</c:v>
                </c:pt>
                <c:pt idx="202">
                  <c:v>2029.0</c:v>
                </c:pt>
                <c:pt idx="203">
                  <c:v>2029.0</c:v>
                </c:pt>
                <c:pt idx="204">
                  <c:v>2029.0</c:v>
                </c:pt>
                <c:pt idx="205">
                  <c:v>2029.0</c:v>
                </c:pt>
                <c:pt idx="206">
                  <c:v>2029.0</c:v>
                </c:pt>
                <c:pt idx="207">
                  <c:v>2029.0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3"/>
          <c:order val="13"/>
          <c:tx>
            <c:v>Benchmark (4 Cents)</c:v>
          </c:tx>
          <c:spPr>
            <a:ln w="15875">
              <a:solidFill>
                <a:srgbClr val="C00000"/>
              </a:solidFill>
            </a:ln>
          </c:spPr>
          <c:marker>
            <c:symbol val="none"/>
          </c:marker>
          <c:xVal>
            <c:numRef>
              <c:f>'Fig6 Data'!$Y$4:$Y$211</c:f>
              <c:numCache>
                <c:formatCode>General</c:formatCode>
                <c:ptCount val="208"/>
                <c:pt idx="0">
                  <c:v>2175.0</c:v>
                </c:pt>
                <c:pt idx="1">
                  <c:v>2175.0</c:v>
                </c:pt>
                <c:pt idx="2">
                  <c:v>2175.0</c:v>
                </c:pt>
                <c:pt idx="3">
                  <c:v>2175.0</c:v>
                </c:pt>
                <c:pt idx="4">
                  <c:v>2175.0</c:v>
                </c:pt>
                <c:pt idx="5">
                  <c:v>2175.0</c:v>
                </c:pt>
                <c:pt idx="6">
                  <c:v>2175.0</c:v>
                </c:pt>
                <c:pt idx="7">
                  <c:v>2175.0</c:v>
                </c:pt>
                <c:pt idx="8">
                  <c:v>2175.0</c:v>
                </c:pt>
                <c:pt idx="9">
                  <c:v>2175.0</c:v>
                </c:pt>
                <c:pt idx="10">
                  <c:v>2175.0</c:v>
                </c:pt>
                <c:pt idx="11">
                  <c:v>2175.0</c:v>
                </c:pt>
                <c:pt idx="12">
                  <c:v>2175.0</c:v>
                </c:pt>
                <c:pt idx="13">
                  <c:v>2175.0</c:v>
                </c:pt>
                <c:pt idx="14">
                  <c:v>2175.0</c:v>
                </c:pt>
                <c:pt idx="15">
                  <c:v>2175.0</c:v>
                </c:pt>
                <c:pt idx="16">
                  <c:v>2175.0</c:v>
                </c:pt>
                <c:pt idx="17">
                  <c:v>2175.0</c:v>
                </c:pt>
                <c:pt idx="18">
                  <c:v>2175.0</c:v>
                </c:pt>
                <c:pt idx="19">
                  <c:v>2175.0</c:v>
                </c:pt>
                <c:pt idx="20">
                  <c:v>2175.0</c:v>
                </c:pt>
                <c:pt idx="21">
                  <c:v>2175.0</c:v>
                </c:pt>
                <c:pt idx="22">
                  <c:v>2175.0</c:v>
                </c:pt>
                <c:pt idx="23">
                  <c:v>2175.0</c:v>
                </c:pt>
                <c:pt idx="24">
                  <c:v>2175.0</c:v>
                </c:pt>
                <c:pt idx="25">
                  <c:v>2175.0</c:v>
                </c:pt>
                <c:pt idx="26">
                  <c:v>2175.0</c:v>
                </c:pt>
                <c:pt idx="27">
                  <c:v>2175.0</c:v>
                </c:pt>
                <c:pt idx="28">
                  <c:v>2175.0</c:v>
                </c:pt>
                <c:pt idx="29">
                  <c:v>2175.0</c:v>
                </c:pt>
                <c:pt idx="30">
                  <c:v>2175.0</c:v>
                </c:pt>
                <c:pt idx="31">
                  <c:v>2175.0</c:v>
                </c:pt>
                <c:pt idx="32">
                  <c:v>2175.0</c:v>
                </c:pt>
                <c:pt idx="33">
                  <c:v>2175.0</c:v>
                </c:pt>
                <c:pt idx="34">
                  <c:v>2175.0</c:v>
                </c:pt>
                <c:pt idx="35">
                  <c:v>2175.0</c:v>
                </c:pt>
                <c:pt idx="36">
                  <c:v>2175.0</c:v>
                </c:pt>
                <c:pt idx="37">
                  <c:v>2175.0</c:v>
                </c:pt>
                <c:pt idx="38">
                  <c:v>2175.0</c:v>
                </c:pt>
                <c:pt idx="39">
                  <c:v>2175.0</c:v>
                </c:pt>
                <c:pt idx="40">
                  <c:v>2175.0</c:v>
                </c:pt>
                <c:pt idx="41">
                  <c:v>2175.0</c:v>
                </c:pt>
                <c:pt idx="42">
                  <c:v>2175.0</c:v>
                </c:pt>
                <c:pt idx="43">
                  <c:v>2175.0</c:v>
                </c:pt>
                <c:pt idx="44">
                  <c:v>2175.0</c:v>
                </c:pt>
                <c:pt idx="45">
                  <c:v>2175.0</c:v>
                </c:pt>
                <c:pt idx="46">
                  <c:v>2175.0</c:v>
                </c:pt>
                <c:pt idx="47">
                  <c:v>2175.0</c:v>
                </c:pt>
                <c:pt idx="48">
                  <c:v>2175.0</c:v>
                </c:pt>
                <c:pt idx="49">
                  <c:v>2175.0</c:v>
                </c:pt>
                <c:pt idx="50">
                  <c:v>2175.0</c:v>
                </c:pt>
                <c:pt idx="51">
                  <c:v>2175.0</c:v>
                </c:pt>
                <c:pt idx="52">
                  <c:v>2175.0</c:v>
                </c:pt>
                <c:pt idx="53">
                  <c:v>2175.0</c:v>
                </c:pt>
                <c:pt idx="54">
                  <c:v>2175.0</c:v>
                </c:pt>
                <c:pt idx="55">
                  <c:v>2175.0</c:v>
                </c:pt>
                <c:pt idx="56">
                  <c:v>2175.0</c:v>
                </c:pt>
                <c:pt idx="57">
                  <c:v>2175.0</c:v>
                </c:pt>
                <c:pt idx="58">
                  <c:v>2175.0</c:v>
                </c:pt>
                <c:pt idx="59">
                  <c:v>2175.0</c:v>
                </c:pt>
                <c:pt idx="60">
                  <c:v>2175.0</c:v>
                </c:pt>
                <c:pt idx="61">
                  <c:v>2175.0</c:v>
                </c:pt>
                <c:pt idx="62">
                  <c:v>2175.0</c:v>
                </c:pt>
                <c:pt idx="63">
                  <c:v>2175.0</c:v>
                </c:pt>
                <c:pt idx="64">
                  <c:v>2175.0</c:v>
                </c:pt>
                <c:pt idx="65">
                  <c:v>2175.0</c:v>
                </c:pt>
                <c:pt idx="66">
                  <c:v>2175.0</c:v>
                </c:pt>
                <c:pt idx="67">
                  <c:v>2175.0</c:v>
                </c:pt>
                <c:pt idx="68">
                  <c:v>2175.0</c:v>
                </c:pt>
                <c:pt idx="69">
                  <c:v>2175.0</c:v>
                </c:pt>
                <c:pt idx="70">
                  <c:v>2175.0</c:v>
                </c:pt>
                <c:pt idx="71">
                  <c:v>2175.0</c:v>
                </c:pt>
                <c:pt idx="72">
                  <c:v>2175.0</c:v>
                </c:pt>
                <c:pt idx="73">
                  <c:v>2175.0</c:v>
                </c:pt>
                <c:pt idx="74">
                  <c:v>2175.0</c:v>
                </c:pt>
                <c:pt idx="75">
                  <c:v>2175.0</c:v>
                </c:pt>
                <c:pt idx="76">
                  <c:v>2175.0</c:v>
                </c:pt>
                <c:pt idx="77">
                  <c:v>2175.0</c:v>
                </c:pt>
                <c:pt idx="78">
                  <c:v>2175.0</c:v>
                </c:pt>
                <c:pt idx="79">
                  <c:v>2175.0</c:v>
                </c:pt>
                <c:pt idx="80">
                  <c:v>2175.0</c:v>
                </c:pt>
                <c:pt idx="81">
                  <c:v>2175.0</c:v>
                </c:pt>
                <c:pt idx="82">
                  <c:v>2175.0</c:v>
                </c:pt>
                <c:pt idx="83">
                  <c:v>2175.0</c:v>
                </c:pt>
                <c:pt idx="84">
                  <c:v>2175.0</c:v>
                </c:pt>
                <c:pt idx="85">
                  <c:v>2175.0</c:v>
                </c:pt>
                <c:pt idx="86">
                  <c:v>2175.0</c:v>
                </c:pt>
                <c:pt idx="87">
                  <c:v>2175.0</c:v>
                </c:pt>
                <c:pt idx="88">
                  <c:v>2175.0</c:v>
                </c:pt>
                <c:pt idx="89">
                  <c:v>2175.0</c:v>
                </c:pt>
                <c:pt idx="90">
                  <c:v>2175.0</c:v>
                </c:pt>
                <c:pt idx="91">
                  <c:v>2175.0</c:v>
                </c:pt>
                <c:pt idx="92">
                  <c:v>2175.0</c:v>
                </c:pt>
                <c:pt idx="93">
                  <c:v>2175.0</c:v>
                </c:pt>
                <c:pt idx="94">
                  <c:v>2175.0</c:v>
                </c:pt>
                <c:pt idx="95">
                  <c:v>2175.0</c:v>
                </c:pt>
                <c:pt idx="96">
                  <c:v>2175.0</c:v>
                </c:pt>
                <c:pt idx="97">
                  <c:v>2175.0</c:v>
                </c:pt>
                <c:pt idx="98">
                  <c:v>2175.0</c:v>
                </c:pt>
                <c:pt idx="99">
                  <c:v>2175.0</c:v>
                </c:pt>
                <c:pt idx="100">
                  <c:v>2175.0</c:v>
                </c:pt>
                <c:pt idx="101">
                  <c:v>2175.0</c:v>
                </c:pt>
                <c:pt idx="102">
                  <c:v>2175.0</c:v>
                </c:pt>
                <c:pt idx="103">
                  <c:v>2175.0</c:v>
                </c:pt>
                <c:pt idx="104">
                  <c:v>2175.0</c:v>
                </c:pt>
                <c:pt idx="105">
                  <c:v>2175.0</c:v>
                </c:pt>
                <c:pt idx="106">
                  <c:v>2175.0</c:v>
                </c:pt>
                <c:pt idx="107">
                  <c:v>2175.0</c:v>
                </c:pt>
                <c:pt idx="108">
                  <c:v>2175.0</c:v>
                </c:pt>
                <c:pt idx="109">
                  <c:v>2175.0</c:v>
                </c:pt>
                <c:pt idx="110">
                  <c:v>2175.0</c:v>
                </c:pt>
                <c:pt idx="111">
                  <c:v>2175.0</c:v>
                </c:pt>
                <c:pt idx="112">
                  <c:v>2175.0</c:v>
                </c:pt>
                <c:pt idx="113">
                  <c:v>2175.0</c:v>
                </c:pt>
                <c:pt idx="114">
                  <c:v>2175.0</c:v>
                </c:pt>
                <c:pt idx="115">
                  <c:v>2175.0</c:v>
                </c:pt>
                <c:pt idx="116">
                  <c:v>2175.0</c:v>
                </c:pt>
                <c:pt idx="117">
                  <c:v>2175.0</c:v>
                </c:pt>
                <c:pt idx="118">
                  <c:v>2175.0</c:v>
                </c:pt>
                <c:pt idx="119">
                  <c:v>2175.0</c:v>
                </c:pt>
                <c:pt idx="120">
                  <c:v>2175.0</c:v>
                </c:pt>
                <c:pt idx="121">
                  <c:v>2175.0</c:v>
                </c:pt>
                <c:pt idx="122">
                  <c:v>2175.0</c:v>
                </c:pt>
                <c:pt idx="123">
                  <c:v>2175.0</c:v>
                </c:pt>
                <c:pt idx="124">
                  <c:v>2175.0</c:v>
                </c:pt>
                <c:pt idx="125">
                  <c:v>2175.0</c:v>
                </c:pt>
                <c:pt idx="126">
                  <c:v>2175.0</c:v>
                </c:pt>
                <c:pt idx="127">
                  <c:v>2175.0</c:v>
                </c:pt>
                <c:pt idx="128">
                  <c:v>2175.0</c:v>
                </c:pt>
                <c:pt idx="129">
                  <c:v>2175.0</c:v>
                </c:pt>
                <c:pt idx="130">
                  <c:v>2175.0</c:v>
                </c:pt>
                <c:pt idx="131">
                  <c:v>2175.0</c:v>
                </c:pt>
                <c:pt idx="132">
                  <c:v>2175.0</c:v>
                </c:pt>
                <c:pt idx="133">
                  <c:v>2175.0</c:v>
                </c:pt>
                <c:pt idx="134">
                  <c:v>2175.0</c:v>
                </c:pt>
                <c:pt idx="135">
                  <c:v>2175.0</c:v>
                </c:pt>
                <c:pt idx="136">
                  <c:v>2175.0</c:v>
                </c:pt>
                <c:pt idx="137">
                  <c:v>2175.0</c:v>
                </c:pt>
                <c:pt idx="138">
                  <c:v>2175.0</c:v>
                </c:pt>
                <c:pt idx="139">
                  <c:v>2175.0</c:v>
                </c:pt>
                <c:pt idx="140">
                  <c:v>2175.0</c:v>
                </c:pt>
                <c:pt idx="141">
                  <c:v>2175.0</c:v>
                </c:pt>
                <c:pt idx="142">
                  <c:v>2175.0</c:v>
                </c:pt>
                <c:pt idx="143">
                  <c:v>2175.0</c:v>
                </c:pt>
                <c:pt idx="144">
                  <c:v>2175.0</c:v>
                </c:pt>
                <c:pt idx="145">
                  <c:v>2175.0</c:v>
                </c:pt>
                <c:pt idx="146">
                  <c:v>2175.0</c:v>
                </c:pt>
                <c:pt idx="147">
                  <c:v>2175.0</c:v>
                </c:pt>
                <c:pt idx="148">
                  <c:v>2175.0</c:v>
                </c:pt>
                <c:pt idx="149">
                  <c:v>2175.0</c:v>
                </c:pt>
                <c:pt idx="150">
                  <c:v>2175.0</c:v>
                </c:pt>
                <c:pt idx="151">
                  <c:v>2175.0</c:v>
                </c:pt>
                <c:pt idx="152">
                  <c:v>2175.0</c:v>
                </c:pt>
                <c:pt idx="153">
                  <c:v>2175.0</c:v>
                </c:pt>
                <c:pt idx="154">
                  <c:v>2175.0</c:v>
                </c:pt>
                <c:pt idx="155">
                  <c:v>2175.0</c:v>
                </c:pt>
                <c:pt idx="156">
                  <c:v>2175.0</c:v>
                </c:pt>
                <c:pt idx="157">
                  <c:v>2175.0</c:v>
                </c:pt>
                <c:pt idx="158">
                  <c:v>2175.0</c:v>
                </c:pt>
                <c:pt idx="159">
                  <c:v>2175.0</c:v>
                </c:pt>
                <c:pt idx="160">
                  <c:v>2175.0</c:v>
                </c:pt>
                <c:pt idx="161">
                  <c:v>2175.0</c:v>
                </c:pt>
                <c:pt idx="162">
                  <c:v>2175.0</c:v>
                </c:pt>
                <c:pt idx="163">
                  <c:v>2175.0</c:v>
                </c:pt>
                <c:pt idx="164">
                  <c:v>2175.0</c:v>
                </c:pt>
                <c:pt idx="165">
                  <c:v>2175.0</c:v>
                </c:pt>
                <c:pt idx="166">
                  <c:v>2175.0</c:v>
                </c:pt>
                <c:pt idx="167">
                  <c:v>2175.0</c:v>
                </c:pt>
                <c:pt idx="168">
                  <c:v>2175.0</c:v>
                </c:pt>
                <c:pt idx="169">
                  <c:v>2175.0</c:v>
                </c:pt>
                <c:pt idx="170">
                  <c:v>2175.0</c:v>
                </c:pt>
                <c:pt idx="171">
                  <c:v>2175.0</c:v>
                </c:pt>
                <c:pt idx="172">
                  <c:v>2175.0</c:v>
                </c:pt>
                <c:pt idx="173">
                  <c:v>2175.0</c:v>
                </c:pt>
                <c:pt idx="174">
                  <c:v>2175.0</c:v>
                </c:pt>
                <c:pt idx="175">
                  <c:v>2175.0</c:v>
                </c:pt>
                <c:pt idx="176">
                  <c:v>2175.0</c:v>
                </c:pt>
                <c:pt idx="177">
                  <c:v>2175.0</c:v>
                </c:pt>
                <c:pt idx="178">
                  <c:v>2175.0</c:v>
                </c:pt>
                <c:pt idx="179">
                  <c:v>2175.0</c:v>
                </c:pt>
                <c:pt idx="180">
                  <c:v>2175.0</c:v>
                </c:pt>
                <c:pt idx="181">
                  <c:v>2175.0</c:v>
                </c:pt>
                <c:pt idx="182">
                  <c:v>2175.0</c:v>
                </c:pt>
                <c:pt idx="183">
                  <c:v>2175.0</c:v>
                </c:pt>
                <c:pt idx="184">
                  <c:v>2175.0</c:v>
                </c:pt>
                <c:pt idx="185">
                  <c:v>2175.0</c:v>
                </c:pt>
                <c:pt idx="186">
                  <c:v>2175.0</c:v>
                </c:pt>
                <c:pt idx="187">
                  <c:v>2175.0</c:v>
                </c:pt>
                <c:pt idx="188">
                  <c:v>2175.0</c:v>
                </c:pt>
                <c:pt idx="189">
                  <c:v>2175.0</c:v>
                </c:pt>
                <c:pt idx="190">
                  <c:v>2175.0</c:v>
                </c:pt>
                <c:pt idx="191">
                  <c:v>2175.0</c:v>
                </c:pt>
                <c:pt idx="192">
                  <c:v>2175.0</c:v>
                </c:pt>
                <c:pt idx="193">
                  <c:v>2175.0</c:v>
                </c:pt>
                <c:pt idx="194">
                  <c:v>2175.0</c:v>
                </c:pt>
                <c:pt idx="195">
                  <c:v>2175.0</c:v>
                </c:pt>
                <c:pt idx="196">
                  <c:v>2175.0</c:v>
                </c:pt>
                <c:pt idx="197">
                  <c:v>2175.0</c:v>
                </c:pt>
                <c:pt idx="198">
                  <c:v>2175.0</c:v>
                </c:pt>
                <c:pt idx="199">
                  <c:v>2175.0</c:v>
                </c:pt>
                <c:pt idx="200">
                  <c:v>2175.0</c:v>
                </c:pt>
                <c:pt idx="201">
                  <c:v>2175.0</c:v>
                </c:pt>
                <c:pt idx="202">
                  <c:v>2175.0</c:v>
                </c:pt>
                <c:pt idx="203">
                  <c:v>2175.0</c:v>
                </c:pt>
                <c:pt idx="204">
                  <c:v>2175.0</c:v>
                </c:pt>
                <c:pt idx="205">
                  <c:v>2175.0</c:v>
                </c:pt>
                <c:pt idx="206">
                  <c:v>2175.0</c:v>
                </c:pt>
                <c:pt idx="207">
                  <c:v>2175.0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dLbls>
          <c:showLegendKey val="0"/>
          <c:showVal val="0"/>
          <c:showCatName val="0"/>
          <c:showSerName val="0"/>
          <c:showPercent val="0"/>
          <c:showBubbleSize val="0"/>
        </c:dLbls>
        <c:axId val="-1170688944"/>
        <c:axId val="-1250068496"/>
      </c:scatterChart>
      <c:valAx>
        <c:axId val="-1170688944"/>
        <c:scaling>
          <c:orientation val="minMax"/>
          <c:max val="2500.0"/>
          <c:min val="1000.0"/>
        </c:scaling>
        <c:delete val="0"/>
        <c:axPos val="b"/>
        <c:title>
          <c:tx>
            <c:rich>
              <a:bodyPr/>
              <a:lstStyle/>
              <a:p>
                <a:pPr>
                  <a:defRPr/>
                </a:pPr>
                <a:r>
                  <a:rPr lang="de-DE" b="0"/>
                  <a:t>Expert Forecasts</a:t>
                </a:r>
              </a:p>
            </c:rich>
          </c:tx>
          <c:overlay val="0"/>
        </c:title>
        <c:numFmt formatCode="General" sourceLinked="1"/>
        <c:majorTickMark val="none"/>
        <c:minorTickMark val="none"/>
        <c:tickLblPos val="nextTo"/>
        <c:crossAx val="-1250068496"/>
        <c:crosses val="autoZero"/>
        <c:crossBetween val="midCat"/>
      </c:valAx>
      <c:valAx>
        <c:axId val="-1250068496"/>
        <c:scaling>
          <c:orientation val="minMax"/>
          <c:max val="1.0"/>
        </c:scaling>
        <c:delete val="0"/>
        <c:axPos val="l"/>
        <c:majorGridlines>
          <c:spPr>
            <a:ln>
              <a:solidFill>
                <a:schemeClr val="bg1"/>
              </a:solidFill>
            </a:ln>
          </c:spPr>
        </c:majorGridlines>
        <c:title>
          <c:tx>
            <c:rich>
              <a:bodyPr/>
              <a:lstStyle/>
              <a:p>
                <a:pPr>
                  <a:defRPr/>
                </a:pPr>
                <a:r>
                  <a:rPr lang="de-DE" b="0"/>
                  <a:t>Cumulative</a:t>
                </a:r>
                <a:r>
                  <a:rPr lang="de-DE" b="0" baseline="0"/>
                  <a:t> Fraction</a:t>
                </a:r>
                <a:endParaRPr lang="de-DE" b="0"/>
              </a:p>
            </c:rich>
          </c:tx>
          <c:overlay val="0"/>
        </c:title>
        <c:numFmt formatCode="General" sourceLinked="1"/>
        <c:majorTickMark val="none"/>
        <c:minorTickMark val="none"/>
        <c:tickLblPos val="nextTo"/>
        <c:crossAx val="-1170688944"/>
        <c:crosses val="autoZero"/>
        <c:crossBetween val="midCat"/>
      </c:valAx>
      <c:spPr>
        <a:noFill/>
        <a:ln>
          <a:solidFill>
            <a:schemeClr val="tx1"/>
          </a:solidFill>
        </a:ln>
      </c:spPr>
    </c:plotArea>
    <c:legend>
      <c:legendPos val="l"/>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107375757338826"/>
          <c:y val="0.0571474413376003"/>
          <c:w val="0.199896661468041"/>
          <c:h val="0.0592396987727108"/>
        </c:manualLayout>
      </c:layout>
      <c:overlay val="1"/>
    </c:legend>
    <c:plotVisOnly val="1"/>
    <c:dispBlanksAs val="gap"/>
    <c:showDLblsOverMax val="0"/>
  </c:chart>
  <c:printSettings>
    <c:headerFooter/>
    <c:pageMargins b="0.787401575" l="0.700000000000001" r="0.700000000000001" t="0.7874015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0863257635353986"/>
          <c:y val="0.0428020049986827"/>
          <c:w val="0.87066292842459"/>
          <c:h val="0.808204751586671"/>
        </c:manualLayout>
      </c:layout>
      <c:scatterChart>
        <c:scatterStyle val="smoothMarker"/>
        <c:varyColors val="0"/>
        <c:ser>
          <c:idx val="0"/>
          <c:order val="0"/>
          <c:tx>
            <c:v>Gain 40 Cents</c:v>
          </c:tx>
          <c:spPr>
            <a:ln w="22225"/>
          </c:spPr>
          <c:marker>
            <c:symbol val="none"/>
          </c:marker>
          <c:xVal>
            <c:numRef>
              <c:f>'Fig6 Data'!$N$4:$N$211</c:f>
              <c:numCache>
                <c:formatCode>General</c:formatCode>
                <c:ptCount val="208"/>
                <c:pt idx="0">
                  <c:v>1383.0</c:v>
                </c:pt>
                <c:pt idx="1">
                  <c:v>1468.0</c:v>
                </c:pt>
                <c:pt idx="2">
                  <c:v>1522.0</c:v>
                </c:pt>
                <c:pt idx="3">
                  <c:v>1538.0</c:v>
                </c:pt>
                <c:pt idx="4">
                  <c:v>1591.0</c:v>
                </c:pt>
                <c:pt idx="5">
                  <c:v>1597.0</c:v>
                </c:pt>
                <c:pt idx="6">
                  <c:v>1600.0</c:v>
                </c:pt>
                <c:pt idx="7">
                  <c:v>1621.0</c:v>
                </c:pt>
                <c:pt idx="8">
                  <c:v>1638.0</c:v>
                </c:pt>
                <c:pt idx="9">
                  <c:v>1650.0</c:v>
                </c:pt>
                <c:pt idx="10">
                  <c:v>1653.0</c:v>
                </c:pt>
                <c:pt idx="11">
                  <c:v>1656.0</c:v>
                </c:pt>
                <c:pt idx="12">
                  <c:v>1660.0</c:v>
                </c:pt>
                <c:pt idx="13">
                  <c:v>1685.0</c:v>
                </c:pt>
                <c:pt idx="14">
                  <c:v>1690.0</c:v>
                </c:pt>
                <c:pt idx="15">
                  <c:v>1693.0</c:v>
                </c:pt>
                <c:pt idx="16">
                  <c:v>1701.0</c:v>
                </c:pt>
                <c:pt idx="17">
                  <c:v>1717.0</c:v>
                </c:pt>
                <c:pt idx="18">
                  <c:v>1725.0</c:v>
                </c:pt>
                <c:pt idx="19">
                  <c:v>1737.0</c:v>
                </c:pt>
                <c:pt idx="20">
                  <c:v>1738.0</c:v>
                </c:pt>
                <c:pt idx="21">
                  <c:v>1750.0</c:v>
                </c:pt>
                <c:pt idx="22">
                  <c:v>1755.0</c:v>
                </c:pt>
                <c:pt idx="23">
                  <c:v>1757.0</c:v>
                </c:pt>
                <c:pt idx="24">
                  <c:v>1757.0</c:v>
                </c:pt>
                <c:pt idx="25">
                  <c:v>1763.0</c:v>
                </c:pt>
                <c:pt idx="26">
                  <c:v>1763.0</c:v>
                </c:pt>
                <c:pt idx="27">
                  <c:v>1767.0</c:v>
                </c:pt>
                <c:pt idx="28">
                  <c:v>1773.0</c:v>
                </c:pt>
                <c:pt idx="29">
                  <c:v>1783.0</c:v>
                </c:pt>
                <c:pt idx="30">
                  <c:v>1794.0</c:v>
                </c:pt>
                <c:pt idx="31">
                  <c:v>1800.0</c:v>
                </c:pt>
                <c:pt idx="32">
                  <c:v>1800.0</c:v>
                </c:pt>
                <c:pt idx="33">
                  <c:v>1800.0</c:v>
                </c:pt>
                <c:pt idx="34">
                  <c:v>1803.0</c:v>
                </c:pt>
                <c:pt idx="35">
                  <c:v>1804.0</c:v>
                </c:pt>
                <c:pt idx="36">
                  <c:v>1808.0</c:v>
                </c:pt>
                <c:pt idx="37">
                  <c:v>1810.0</c:v>
                </c:pt>
                <c:pt idx="38">
                  <c:v>1830.0</c:v>
                </c:pt>
                <c:pt idx="39">
                  <c:v>1832.0</c:v>
                </c:pt>
                <c:pt idx="40">
                  <c:v>1837.0</c:v>
                </c:pt>
                <c:pt idx="41">
                  <c:v>1857.0</c:v>
                </c:pt>
                <c:pt idx="42">
                  <c:v>1864.0</c:v>
                </c:pt>
                <c:pt idx="43">
                  <c:v>1869.0</c:v>
                </c:pt>
                <c:pt idx="44">
                  <c:v>1870.0</c:v>
                </c:pt>
                <c:pt idx="45">
                  <c:v>1873.0</c:v>
                </c:pt>
                <c:pt idx="46">
                  <c:v>1877.0</c:v>
                </c:pt>
                <c:pt idx="47">
                  <c:v>1879.0</c:v>
                </c:pt>
                <c:pt idx="48">
                  <c:v>1880.0</c:v>
                </c:pt>
                <c:pt idx="49">
                  <c:v>1885.0</c:v>
                </c:pt>
                <c:pt idx="50">
                  <c:v>1887.0</c:v>
                </c:pt>
                <c:pt idx="51">
                  <c:v>1887.0</c:v>
                </c:pt>
                <c:pt idx="52">
                  <c:v>1897.0</c:v>
                </c:pt>
                <c:pt idx="53">
                  <c:v>1897.0</c:v>
                </c:pt>
                <c:pt idx="54">
                  <c:v>1899.0</c:v>
                </c:pt>
                <c:pt idx="55">
                  <c:v>1899.0</c:v>
                </c:pt>
                <c:pt idx="56">
                  <c:v>1899.0</c:v>
                </c:pt>
                <c:pt idx="57">
                  <c:v>1900.0</c:v>
                </c:pt>
                <c:pt idx="58">
                  <c:v>1900.0</c:v>
                </c:pt>
                <c:pt idx="59">
                  <c:v>1901.0</c:v>
                </c:pt>
                <c:pt idx="60">
                  <c:v>1902.0</c:v>
                </c:pt>
                <c:pt idx="61">
                  <c:v>1904.0</c:v>
                </c:pt>
                <c:pt idx="62">
                  <c:v>1904.0</c:v>
                </c:pt>
                <c:pt idx="63">
                  <c:v>1904.0</c:v>
                </c:pt>
                <c:pt idx="64">
                  <c:v>1911.0</c:v>
                </c:pt>
                <c:pt idx="65">
                  <c:v>1914.0</c:v>
                </c:pt>
                <c:pt idx="66">
                  <c:v>1914.0</c:v>
                </c:pt>
                <c:pt idx="67">
                  <c:v>1917.0</c:v>
                </c:pt>
                <c:pt idx="68">
                  <c:v>1929.0</c:v>
                </c:pt>
                <c:pt idx="69">
                  <c:v>1933.0</c:v>
                </c:pt>
                <c:pt idx="70">
                  <c:v>1940.0</c:v>
                </c:pt>
                <c:pt idx="71">
                  <c:v>1943.0</c:v>
                </c:pt>
                <c:pt idx="72">
                  <c:v>1945.0</c:v>
                </c:pt>
                <c:pt idx="73">
                  <c:v>1945.0</c:v>
                </c:pt>
                <c:pt idx="74">
                  <c:v>1945.0</c:v>
                </c:pt>
                <c:pt idx="75">
                  <c:v>1950.0</c:v>
                </c:pt>
                <c:pt idx="76">
                  <c:v>1951.0</c:v>
                </c:pt>
                <c:pt idx="77">
                  <c:v>1952.0</c:v>
                </c:pt>
                <c:pt idx="78">
                  <c:v>1954.0</c:v>
                </c:pt>
                <c:pt idx="79">
                  <c:v>1967.0</c:v>
                </c:pt>
                <c:pt idx="80">
                  <c:v>1971.0</c:v>
                </c:pt>
                <c:pt idx="81">
                  <c:v>1972.0</c:v>
                </c:pt>
                <c:pt idx="82">
                  <c:v>1973.0</c:v>
                </c:pt>
                <c:pt idx="83">
                  <c:v>1974.0</c:v>
                </c:pt>
                <c:pt idx="84">
                  <c:v>1976.0</c:v>
                </c:pt>
                <c:pt idx="85">
                  <c:v>1977.0</c:v>
                </c:pt>
                <c:pt idx="86">
                  <c:v>1980.0</c:v>
                </c:pt>
                <c:pt idx="87">
                  <c:v>1981.0</c:v>
                </c:pt>
                <c:pt idx="88">
                  <c:v>1987.0</c:v>
                </c:pt>
                <c:pt idx="89">
                  <c:v>1988.0</c:v>
                </c:pt>
                <c:pt idx="90">
                  <c:v>1992.0</c:v>
                </c:pt>
                <c:pt idx="91">
                  <c:v>1996.0</c:v>
                </c:pt>
                <c:pt idx="92">
                  <c:v>1996.0</c:v>
                </c:pt>
                <c:pt idx="93">
                  <c:v>2001.0</c:v>
                </c:pt>
                <c:pt idx="94">
                  <c:v>2001.0</c:v>
                </c:pt>
                <c:pt idx="95">
                  <c:v>2001.0</c:v>
                </c:pt>
                <c:pt idx="96">
                  <c:v>2001.0</c:v>
                </c:pt>
                <c:pt idx="97">
                  <c:v>2001.0</c:v>
                </c:pt>
                <c:pt idx="98">
                  <c:v>2001.0</c:v>
                </c:pt>
                <c:pt idx="99">
                  <c:v>2001.0</c:v>
                </c:pt>
                <c:pt idx="100">
                  <c:v>2002.0</c:v>
                </c:pt>
                <c:pt idx="101">
                  <c:v>2002.0</c:v>
                </c:pt>
                <c:pt idx="102">
                  <c:v>2002.0</c:v>
                </c:pt>
                <c:pt idx="103">
                  <c:v>2002.0</c:v>
                </c:pt>
                <c:pt idx="104">
                  <c:v>2002.0</c:v>
                </c:pt>
                <c:pt idx="105">
                  <c:v>2002.0</c:v>
                </c:pt>
                <c:pt idx="106">
                  <c:v>2002.0</c:v>
                </c:pt>
                <c:pt idx="107">
                  <c:v>2002.0</c:v>
                </c:pt>
                <c:pt idx="108">
                  <c:v>2002.0</c:v>
                </c:pt>
                <c:pt idx="109">
                  <c:v>2002.0</c:v>
                </c:pt>
                <c:pt idx="110">
                  <c:v>2002.0</c:v>
                </c:pt>
                <c:pt idx="111">
                  <c:v>2002.0</c:v>
                </c:pt>
                <c:pt idx="112">
                  <c:v>2002.0</c:v>
                </c:pt>
                <c:pt idx="113">
                  <c:v>2003.0</c:v>
                </c:pt>
                <c:pt idx="114">
                  <c:v>2003.0</c:v>
                </c:pt>
                <c:pt idx="115">
                  <c:v>2003.0</c:v>
                </c:pt>
                <c:pt idx="116">
                  <c:v>2004.0</c:v>
                </c:pt>
                <c:pt idx="117">
                  <c:v>2004.0</c:v>
                </c:pt>
                <c:pt idx="118">
                  <c:v>2004.0</c:v>
                </c:pt>
                <c:pt idx="119">
                  <c:v>2004.0</c:v>
                </c:pt>
                <c:pt idx="120">
                  <c:v>2004.0</c:v>
                </c:pt>
                <c:pt idx="121">
                  <c:v>2004.0</c:v>
                </c:pt>
                <c:pt idx="122">
                  <c:v>2005.0</c:v>
                </c:pt>
                <c:pt idx="123">
                  <c:v>2006.0</c:v>
                </c:pt>
                <c:pt idx="124">
                  <c:v>2007.0</c:v>
                </c:pt>
                <c:pt idx="125">
                  <c:v>2008.0</c:v>
                </c:pt>
                <c:pt idx="126">
                  <c:v>2009.0</c:v>
                </c:pt>
                <c:pt idx="127">
                  <c:v>2009.0</c:v>
                </c:pt>
                <c:pt idx="128">
                  <c:v>2009.0</c:v>
                </c:pt>
                <c:pt idx="129">
                  <c:v>2010.0</c:v>
                </c:pt>
                <c:pt idx="130">
                  <c:v>2011.0</c:v>
                </c:pt>
                <c:pt idx="131">
                  <c:v>2012.0</c:v>
                </c:pt>
                <c:pt idx="132">
                  <c:v>2012.0</c:v>
                </c:pt>
                <c:pt idx="133">
                  <c:v>2012.0</c:v>
                </c:pt>
                <c:pt idx="134">
                  <c:v>2013.0</c:v>
                </c:pt>
                <c:pt idx="135">
                  <c:v>2015.0</c:v>
                </c:pt>
                <c:pt idx="136">
                  <c:v>2016.0</c:v>
                </c:pt>
                <c:pt idx="137">
                  <c:v>2020.0</c:v>
                </c:pt>
                <c:pt idx="138">
                  <c:v>2021.0</c:v>
                </c:pt>
                <c:pt idx="139">
                  <c:v>2026.0</c:v>
                </c:pt>
                <c:pt idx="140">
                  <c:v>2028.0</c:v>
                </c:pt>
                <c:pt idx="141">
                  <c:v>2029.0</c:v>
                </c:pt>
                <c:pt idx="142">
                  <c:v>2029.0</c:v>
                </c:pt>
                <c:pt idx="143">
                  <c:v>2029.0</c:v>
                </c:pt>
                <c:pt idx="144">
                  <c:v>2031.0</c:v>
                </c:pt>
                <c:pt idx="145">
                  <c:v>2031.0</c:v>
                </c:pt>
                <c:pt idx="146">
                  <c:v>2032.0</c:v>
                </c:pt>
                <c:pt idx="147">
                  <c:v>2035.0</c:v>
                </c:pt>
                <c:pt idx="148">
                  <c:v>2040.0</c:v>
                </c:pt>
                <c:pt idx="149">
                  <c:v>2041.0</c:v>
                </c:pt>
                <c:pt idx="150">
                  <c:v>2041.0</c:v>
                </c:pt>
                <c:pt idx="151">
                  <c:v>2041.0</c:v>
                </c:pt>
                <c:pt idx="152">
                  <c:v>2043.0</c:v>
                </c:pt>
                <c:pt idx="153">
                  <c:v>2043.0</c:v>
                </c:pt>
                <c:pt idx="154">
                  <c:v>2045.0</c:v>
                </c:pt>
                <c:pt idx="155">
                  <c:v>2046.0</c:v>
                </c:pt>
                <c:pt idx="156">
                  <c:v>2046.0</c:v>
                </c:pt>
                <c:pt idx="157">
                  <c:v>2048.0</c:v>
                </c:pt>
                <c:pt idx="158">
                  <c:v>2048.0</c:v>
                </c:pt>
                <c:pt idx="159">
                  <c:v>2049.0</c:v>
                </c:pt>
                <c:pt idx="160">
                  <c:v>2049.0</c:v>
                </c:pt>
                <c:pt idx="161">
                  <c:v>2050.0</c:v>
                </c:pt>
                <c:pt idx="162">
                  <c:v>2050.0</c:v>
                </c:pt>
                <c:pt idx="163">
                  <c:v>2051.0</c:v>
                </c:pt>
                <c:pt idx="164">
                  <c:v>2052.0</c:v>
                </c:pt>
                <c:pt idx="165">
                  <c:v>2052.0</c:v>
                </c:pt>
                <c:pt idx="166">
                  <c:v>2052.0</c:v>
                </c:pt>
                <c:pt idx="167">
                  <c:v>2052.0</c:v>
                </c:pt>
                <c:pt idx="168">
                  <c:v>2052.0</c:v>
                </c:pt>
                <c:pt idx="169">
                  <c:v>2052.0</c:v>
                </c:pt>
                <c:pt idx="170">
                  <c:v>2057.0</c:v>
                </c:pt>
                <c:pt idx="171">
                  <c:v>2061.0</c:v>
                </c:pt>
                <c:pt idx="172">
                  <c:v>2070.0</c:v>
                </c:pt>
                <c:pt idx="173">
                  <c:v>2076.0</c:v>
                </c:pt>
                <c:pt idx="174">
                  <c:v>2080.0</c:v>
                </c:pt>
                <c:pt idx="175">
                  <c:v>2086.0</c:v>
                </c:pt>
                <c:pt idx="176">
                  <c:v>2086.0</c:v>
                </c:pt>
                <c:pt idx="177">
                  <c:v>2092.0</c:v>
                </c:pt>
                <c:pt idx="178">
                  <c:v>2092.0</c:v>
                </c:pt>
                <c:pt idx="179">
                  <c:v>2093.0</c:v>
                </c:pt>
                <c:pt idx="180">
                  <c:v>2097.0</c:v>
                </c:pt>
                <c:pt idx="181">
                  <c:v>2100.0</c:v>
                </c:pt>
                <c:pt idx="182">
                  <c:v>2100.0</c:v>
                </c:pt>
                <c:pt idx="183">
                  <c:v>2102.0</c:v>
                </c:pt>
                <c:pt idx="184">
                  <c:v>2105.0</c:v>
                </c:pt>
                <c:pt idx="185">
                  <c:v>2105.0</c:v>
                </c:pt>
                <c:pt idx="186">
                  <c:v>2110.0</c:v>
                </c:pt>
                <c:pt idx="187">
                  <c:v>2112.0</c:v>
                </c:pt>
                <c:pt idx="188">
                  <c:v>2112.0</c:v>
                </c:pt>
                <c:pt idx="189">
                  <c:v>2125.0</c:v>
                </c:pt>
                <c:pt idx="190">
                  <c:v>2127.0</c:v>
                </c:pt>
                <c:pt idx="191">
                  <c:v>2128.0</c:v>
                </c:pt>
                <c:pt idx="192">
                  <c:v>2130.0</c:v>
                </c:pt>
                <c:pt idx="193">
                  <c:v>2130.0</c:v>
                </c:pt>
                <c:pt idx="194">
                  <c:v>2133.0</c:v>
                </c:pt>
                <c:pt idx="195">
                  <c:v>2135.0</c:v>
                </c:pt>
                <c:pt idx="196">
                  <c:v>2137.0</c:v>
                </c:pt>
                <c:pt idx="197">
                  <c:v>2145.0</c:v>
                </c:pt>
                <c:pt idx="198">
                  <c:v>2147.0</c:v>
                </c:pt>
                <c:pt idx="199">
                  <c:v>2148.0</c:v>
                </c:pt>
                <c:pt idx="200">
                  <c:v>2165.0</c:v>
                </c:pt>
                <c:pt idx="201">
                  <c:v>2169.0</c:v>
                </c:pt>
                <c:pt idx="202">
                  <c:v>2176.0</c:v>
                </c:pt>
                <c:pt idx="203">
                  <c:v>2179.0</c:v>
                </c:pt>
                <c:pt idx="204">
                  <c:v>2179.0</c:v>
                </c:pt>
                <c:pt idx="205">
                  <c:v>2209.0</c:v>
                </c:pt>
                <c:pt idx="206">
                  <c:v>2272.0</c:v>
                </c:pt>
                <c:pt idx="207">
                  <c:v>2300.0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
          <c:order val="1"/>
          <c:tx>
            <c:v>Loss 40 Cents</c:v>
          </c:tx>
          <c:spPr>
            <a:ln w="22225">
              <a:solidFill>
                <a:schemeClr val="tx1"/>
              </a:solidFill>
            </a:ln>
          </c:spPr>
          <c:marker>
            <c:symbol val="none"/>
          </c:marker>
          <c:xVal>
            <c:numRef>
              <c:f>'Fig6 Data'!$O$4:$O$211</c:f>
              <c:numCache>
                <c:formatCode>General</c:formatCode>
                <c:ptCount val="208"/>
                <c:pt idx="0">
                  <c:v>1273.0</c:v>
                </c:pt>
                <c:pt idx="1">
                  <c:v>1536.0</c:v>
                </c:pt>
                <c:pt idx="2">
                  <c:v>1561.0</c:v>
                </c:pt>
                <c:pt idx="3">
                  <c:v>1600.0</c:v>
                </c:pt>
                <c:pt idx="4">
                  <c:v>1608.0</c:v>
                </c:pt>
                <c:pt idx="5">
                  <c:v>1673.0</c:v>
                </c:pt>
                <c:pt idx="6">
                  <c:v>1678.0</c:v>
                </c:pt>
                <c:pt idx="7">
                  <c:v>1710.0</c:v>
                </c:pt>
                <c:pt idx="8">
                  <c:v>1710.0</c:v>
                </c:pt>
                <c:pt idx="9">
                  <c:v>1720.0</c:v>
                </c:pt>
                <c:pt idx="10">
                  <c:v>1738.0</c:v>
                </c:pt>
                <c:pt idx="11">
                  <c:v>1743.0</c:v>
                </c:pt>
                <c:pt idx="12">
                  <c:v>1745.0</c:v>
                </c:pt>
                <c:pt idx="13">
                  <c:v>1762.0</c:v>
                </c:pt>
                <c:pt idx="14">
                  <c:v>1777.0</c:v>
                </c:pt>
                <c:pt idx="15">
                  <c:v>1797.0</c:v>
                </c:pt>
                <c:pt idx="16">
                  <c:v>1800.0</c:v>
                </c:pt>
                <c:pt idx="17">
                  <c:v>1800.0</c:v>
                </c:pt>
                <c:pt idx="18">
                  <c:v>1810.0</c:v>
                </c:pt>
                <c:pt idx="19">
                  <c:v>1813.0</c:v>
                </c:pt>
                <c:pt idx="20">
                  <c:v>1833.0</c:v>
                </c:pt>
                <c:pt idx="21">
                  <c:v>1834.0</c:v>
                </c:pt>
                <c:pt idx="22">
                  <c:v>1834.0</c:v>
                </c:pt>
                <c:pt idx="23">
                  <c:v>1839.0</c:v>
                </c:pt>
                <c:pt idx="24">
                  <c:v>1840.0</c:v>
                </c:pt>
                <c:pt idx="25">
                  <c:v>1843.0</c:v>
                </c:pt>
                <c:pt idx="26">
                  <c:v>1871.0</c:v>
                </c:pt>
                <c:pt idx="27">
                  <c:v>1877.0</c:v>
                </c:pt>
                <c:pt idx="28">
                  <c:v>1877.0</c:v>
                </c:pt>
                <c:pt idx="29">
                  <c:v>1889.0</c:v>
                </c:pt>
                <c:pt idx="30">
                  <c:v>1890.0</c:v>
                </c:pt>
                <c:pt idx="31">
                  <c:v>1897.0</c:v>
                </c:pt>
                <c:pt idx="32">
                  <c:v>1898.0</c:v>
                </c:pt>
                <c:pt idx="33">
                  <c:v>1900.0</c:v>
                </c:pt>
                <c:pt idx="34">
                  <c:v>1901.0</c:v>
                </c:pt>
                <c:pt idx="35">
                  <c:v>1901.0</c:v>
                </c:pt>
                <c:pt idx="36">
                  <c:v>1904.0</c:v>
                </c:pt>
                <c:pt idx="37">
                  <c:v>1914.0</c:v>
                </c:pt>
                <c:pt idx="38">
                  <c:v>1922.0</c:v>
                </c:pt>
                <c:pt idx="39">
                  <c:v>1925.0</c:v>
                </c:pt>
                <c:pt idx="40">
                  <c:v>1927.0</c:v>
                </c:pt>
                <c:pt idx="41">
                  <c:v>1927.0</c:v>
                </c:pt>
                <c:pt idx="42">
                  <c:v>1929.0</c:v>
                </c:pt>
                <c:pt idx="43">
                  <c:v>1932.0</c:v>
                </c:pt>
                <c:pt idx="44">
                  <c:v>1934.0</c:v>
                </c:pt>
                <c:pt idx="45">
                  <c:v>1945.0</c:v>
                </c:pt>
                <c:pt idx="46">
                  <c:v>1947.0</c:v>
                </c:pt>
                <c:pt idx="47">
                  <c:v>1947.0</c:v>
                </c:pt>
                <c:pt idx="48">
                  <c:v>1948.0</c:v>
                </c:pt>
                <c:pt idx="49">
                  <c:v>1948.0</c:v>
                </c:pt>
                <c:pt idx="50">
                  <c:v>1953.0</c:v>
                </c:pt>
                <c:pt idx="51">
                  <c:v>1955.0</c:v>
                </c:pt>
                <c:pt idx="52">
                  <c:v>1955.0</c:v>
                </c:pt>
                <c:pt idx="53">
                  <c:v>1958.0</c:v>
                </c:pt>
                <c:pt idx="54">
                  <c:v>1958.0</c:v>
                </c:pt>
                <c:pt idx="55">
                  <c:v>1959.0</c:v>
                </c:pt>
                <c:pt idx="56">
                  <c:v>1959.0</c:v>
                </c:pt>
                <c:pt idx="57">
                  <c:v>1961.0</c:v>
                </c:pt>
                <c:pt idx="58">
                  <c:v>1964.0</c:v>
                </c:pt>
                <c:pt idx="59">
                  <c:v>1968.0</c:v>
                </c:pt>
                <c:pt idx="60">
                  <c:v>1970.0</c:v>
                </c:pt>
                <c:pt idx="61">
                  <c:v>1970.0</c:v>
                </c:pt>
                <c:pt idx="62">
                  <c:v>1973.0</c:v>
                </c:pt>
                <c:pt idx="63">
                  <c:v>1973.0</c:v>
                </c:pt>
                <c:pt idx="64">
                  <c:v>1976.0</c:v>
                </c:pt>
                <c:pt idx="65">
                  <c:v>1979.0</c:v>
                </c:pt>
                <c:pt idx="66">
                  <c:v>1982.0</c:v>
                </c:pt>
                <c:pt idx="67">
                  <c:v>1983.0</c:v>
                </c:pt>
                <c:pt idx="68">
                  <c:v>1988.0</c:v>
                </c:pt>
                <c:pt idx="69">
                  <c:v>1990.0</c:v>
                </c:pt>
                <c:pt idx="70">
                  <c:v>1994.0</c:v>
                </c:pt>
                <c:pt idx="71">
                  <c:v>1996.0</c:v>
                </c:pt>
                <c:pt idx="72">
                  <c:v>2000.0</c:v>
                </c:pt>
                <c:pt idx="73">
                  <c:v>2000.0</c:v>
                </c:pt>
                <c:pt idx="74">
                  <c:v>2001.0</c:v>
                </c:pt>
                <c:pt idx="75">
                  <c:v>2001.0</c:v>
                </c:pt>
                <c:pt idx="76">
                  <c:v>2001.0</c:v>
                </c:pt>
                <c:pt idx="77">
                  <c:v>2001.0</c:v>
                </c:pt>
                <c:pt idx="78">
                  <c:v>2001.0</c:v>
                </c:pt>
                <c:pt idx="79">
                  <c:v>2001.0</c:v>
                </c:pt>
                <c:pt idx="80">
                  <c:v>2002.0</c:v>
                </c:pt>
                <c:pt idx="81">
                  <c:v>2002.0</c:v>
                </c:pt>
                <c:pt idx="82">
                  <c:v>2002.0</c:v>
                </c:pt>
                <c:pt idx="83">
                  <c:v>2002.0</c:v>
                </c:pt>
                <c:pt idx="84">
                  <c:v>2002.0</c:v>
                </c:pt>
                <c:pt idx="85">
                  <c:v>2002.0</c:v>
                </c:pt>
                <c:pt idx="86">
                  <c:v>2003.0</c:v>
                </c:pt>
                <c:pt idx="87">
                  <c:v>2003.0</c:v>
                </c:pt>
                <c:pt idx="88">
                  <c:v>2003.0</c:v>
                </c:pt>
                <c:pt idx="89">
                  <c:v>2004.0</c:v>
                </c:pt>
                <c:pt idx="90">
                  <c:v>2006.0</c:v>
                </c:pt>
                <c:pt idx="91">
                  <c:v>2006.0</c:v>
                </c:pt>
                <c:pt idx="92">
                  <c:v>2006.0</c:v>
                </c:pt>
                <c:pt idx="93">
                  <c:v>2006.0</c:v>
                </c:pt>
                <c:pt idx="94">
                  <c:v>2007.0</c:v>
                </c:pt>
                <c:pt idx="95">
                  <c:v>2007.0</c:v>
                </c:pt>
                <c:pt idx="96">
                  <c:v>2007.0</c:v>
                </c:pt>
                <c:pt idx="97">
                  <c:v>2007.0</c:v>
                </c:pt>
                <c:pt idx="98">
                  <c:v>2008.0</c:v>
                </c:pt>
                <c:pt idx="99">
                  <c:v>2008.0</c:v>
                </c:pt>
                <c:pt idx="100">
                  <c:v>2008.0</c:v>
                </c:pt>
                <c:pt idx="101">
                  <c:v>2009.0</c:v>
                </c:pt>
                <c:pt idx="102">
                  <c:v>2009.0</c:v>
                </c:pt>
                <c:pt idx="103">
                  <c:v>2009.0</c:v>
                </c:pt>
                <c:pt idx="104">
                  <c:v>2009.0</c:v>
                </c:pt>
                <c:pt idx="105">
                  <c:v>2009.0</c:v>
                </c:pt>
                <c:pt idx="106">
                  <c:v>2010.0</c:v>
                </c:pt>
                <c:pt idx="107">
                  <c:v>2010.0</c:v>
                </c:pt>
                <c:pt idx="108">
                  <c:v>2011.0</c:v>
                </c:pt>
                <c:pt idx="109">
                  <c:v>2012.0</c:v>
                </c:pt>
                <c:pt idx="110">
                  <c:v>2012.0</c:v>
                </c:pt>
                <c:pt idx="111">
                  <c:v>2013.0</c:v>
                </c:pt>
                <c:pt idx="112">
                  <c:v>2015.0</c:v>
                </c:pt>
                <c:pt idx="113">
                  <c:v>2015.0</c:v>
                </c:pt>
                <c:pt idx="114">
                  <c:v>2015.0</c:v>
                </c:pt>
                <c:pt idx="115">
                  <c:v>2016.0</c:v>
                </c:pt>
                <c:pt idx="116">
                  <c:v>2018.0</c:v>
                </c:pt>
                <c:pt idx="117">
                  <c:v>2019.0</c:v>
                </c:pt>
                <c:pt idx="118">
                  <c:v>2020.0</c:v>
                </c:pt>
                <c:pt idx="119">
                  <c:v>2020.0</c:v>
                </c:pt>
                <c:pt idx="120">
                  <c:v>2021.0</c:v>
                </c:pt>
                <c:pt idx="121">
                  <c:v>2022.0</c:v>
                </c:pt>
                <c:pt idx="122">
                  <c:v>2022.0</c:v>
                </c:pt>
                <c:pt idx="123">
                  <c:v>2022.0</c:v>
                </c:pt>
                <c:pt idx="124">
                  <c:v>2022.0</c:v>
                </c:pt>
                <c:pt idx="125">
                  <c:v>2025.0</c:v>
                </c:pt>
                <c:pt idx="126">
                  <c:v>2026.0</c:v>
                </c:pt>
                <c:pt idx="127">
                  <c:v>2026.0</c:v>
                </c:pt>
                <c:pt idx="128">
                  <c:v>2028.0</c:v>
                </c:pt>
                <c:pt idx="129">
                  <c:v>2029.0</c:v>
                </c:pt>
                <c:pt idx="130">
                  <c:v>2032.0</c:v>
                </c:pt>
                <c:pt idx="131">
                  <c:v>2039.0</c:v>
                </c:pt>
                <c:pt idx="132">
                  <c:v>2043.0</c:v>
                </c:pt>
                <c:pt idx="133">
                  <c:v>2045.0</c:v>
                </c:pt>
                <c:pt idx="134">
                  <c:v>2045.0</c:v>
                </c:pt>
                <c:pt idx="135">
                  <c:v>2046.0</c:v>
                </c:pt>
                <c:pt idx="136">
                  <c:v>2047.0</c:v>
                </c:pt>
                <c:pt idx="137">
                  <c:v>2048.0</c:v>
                </c:pt>
                <c:pt idx="138">
                  <c:v>2048.0</c:v>
                </c:pt>
                <c:pt idx="139">
                  <c:v>2049.0</c:v>
                </c:pt>
                <c:pt idx="140">
                  <c:v>2050.0</c:v>
                </c:pt>
                <c:pt idx="141">
                  <c:v>2051.0</c:v>
                </c:pt>
                <c:pt idx="142">
                  <c:v>2052.0</c:v>
                </c:pt>
                <c:pt idx="143">
                  <c:v>2052.0</c:v>
                </c:pt>
                <c:pt idx="144">
                  <c:v>2052.0</c:v>
                </c:pt>
                <c:pt idx="145">
                  <c:v>2052.0</c:v>
                </c:pt>
                <c:pt idx="146">
                  <c:v>2053.0</c:v>
                </c:pt>
                <c:pt idx="147">
                  <c:v>2057.0</c:v>
                </c:pt>
                <c:pt idx="148">
                  <c:v>2058.0</c:v>
                </c:pt>
                <c:pt idx="149">
                  <c:v>2065.0</c:v>
                </c:pt>
                <c:pt idx="150">
                  <c:v>2066.0</c:v>
                </c:pt>
                <c:pt idx="151">
                  <c:v>2069.0</c:v>
                </c:pt>
                <c:pt idx="152">
                  <c:v>2069.0</c:v>
                </c:pt>
                <c:pt idx="153">
                  <c:v>2070.0</c:v>
                </c:pt>
                <c:pt idx="154">
                  <c:v>2072.0</c:v>
                </c:pt>
                <c:pt idx="155">
                  <c:v>2073.0</c:v>
                </c:pt>
                <c:pt idx="156">
                  <c:v>2075.0</c:v>
                </c:pt>
                <c:pt idx="157">
                  <c:v>2081.0</c:v>
                </c:pt>
                <c:pt idx="158">
                  <c:v>2082.0</c:v>
                </c:pt>
                <c:pt idx="159">
                  <c:v>2085.0</c:v>
                </c:pt>
                <c:pt idx="160">
                  <c:v>2085.0</c:v>
                </c:pt>
                <c:pt idx="161">
                  <c:v>2085.0</c:v>
                </c:pt>
                <c:pt idx="162">
                  <c:v>2088.0</c:v>
                </c:pt>
                <c:pt idx="163">
                  <c:v>2092.0</c:v>
                </c:pt>
                <c:pt idx="164">
                  <c:v>2102.0</c:v>
                </c:pt>
                <c:pt idx="165">
                  <c:v>2102.0</c:v>
                </c:pt>
                <c:pt idx="166">
                  <c:v>2102.0</c:v>
                </c:pt>
                <c:pt idx="167">
                  <c:v>2108.0</c:v>
                </c:pt>
                <c:pt idx="168">
                  <c:v>2108.0</c:v>
                </c:pt>
                <c:pt idx="169">
                  <c:v>2112.0</c:v>
                </c:pt>
                <c:pt idx="170">
                  <c:v>2113.0</c:v>
                </c:pt>
                <c:pt idx="171">
                  <c:v>2116.0</c:v>
                </c:pt>
                <c:pt idx="172">
                  <c:v>2118.0</c:v>
                </c:pt>
                <c:pt idx="173">
                  <c:v>2120.0</c:v>
                </c:pt>
                <c:pt idx="174">
                  <c:v>2123.0</c:v>
                </c:pt>
                <c:pt idx="175">
                  <c:v>2125.0</c:v>
                </c:pt>
                <c:pt idx="176">
                  <c:v>2126.0</c:v>
                </c:pt>
                <c:pt idx="177">
                  <c:v>2129.0</c:v>
                </c:pt>
                <c:pt idx="178">
                  <c:v>2130.0</c:v>
                </c:pt>
                <c:pt idx="179">
                  <c:v>2138.0</c:v>
                </c:pt>
                <c:pt idx="180">
                  <c:v>2139.0</c:v>
                </c:pt>
                <c:pt idx="181">
                  <c:v>2142.0</c:v>
                </c:pt>
                <c:pt idx="182">
                  <c:v>2142.0</c:v>
                </c:pt>
                <c:pt idx="183">
                  <c:v>2143.0</c:v>
                </c:pt>
                <c:pt idx="184">
                  <c:v>2147.0</c:v>
                </c:pt>
                <c:pt idx="185">
                  <c:v>2150.0</c:v>
                </c:pt>
                <c:pt idx="186">
                  <c:v>2150.0</c:v>
                </c:pt>
                <c:pt idx="187">
                  <c:v>2150.0</c:v>
                </c:pt>
                <c:pt idx="188">
                  <c:v>2156.0</c:v>
                </c:pt>
                <c:pt idx="189">
                  <c:v>2166.0</c:v>
                </c:pt>
                <c:pt idx="190">
                  <c:v>2172.0</c:v>
                </c:pt>
                <c:pt idx="191">
                  <c:v>2173.0</c:v>
                </c:pt>
                <c:pt idx="192">
                  <c:v>2175.0</c:v>
                </c:pt>
                <c:pt idx="193">
                  <c:v>2185.0</c:v>
                </c:pt>
                <c:pt idx="194">
                  <c:v>2200.0</c:v>
                </c:pt>
                <c:pt idx="195">
                  <c:v>2200.0</c:v>
                </c:pt>
                <c:pt idx="196">
                  <c:v>2203.0</c:v>
                </c:pt>
                <c:pt idx="197">
                  <c:v>2210.0</c:v>
                </c:pt>
                <c:pt idx="198">
                  <c:v>2213.0</c:v>
                </c:pt>
                <c:pt idx="199">
                  <c:v>2219.0</c:v>
                </c:pt>
                <c:pt idx="200">
                  <c:v>2225.0</c:v>
                </c:pt>
                <c:pt idx="201">
                  <c:v>2229.0</c:v>
                </c:pt>
                <c:pt idx="202">
                  <c:v>2229.0</c:v>
                </c:pt>
                <c:pt idx="203">
                  <c:v>2242.0</c:v>
                </c:pt>
                <c:pt idx="204">
                  <c:v>2303.0</c:v>
                </c:pt>
                <c:pt idx="205">
                  <c:v>2326.0</c:v>
                </c:pt>
                <c:pt idx="206">
                  <c:v>2369.0</c:v>
                </c:pt>
                <c:pt idx="207">
                  <c:v>2416.0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2"/>
          <c:order val="2"/>
          <c:tx>
            <c:v>Gain 80 Cents</c:v>
          </c:tx>
          <c:spPr>
            <a:ln w="22225"/>
          </c:spPr>
          <c:marker>
            <c:symbol val="none"/>
          </c:marker>
          <c:xVal>
            <c:numRef>
              <c:f>'Fig6 Data'!$P$4:$P$211</c:f>
              <c:numCache>
                <c:formatCode>General</c:formatCode>
                <c:ptCount val="208"/>
                <c:pt idx="0">
                  <c:v>1608.0</c:v>
                </c:pt>
                <c:pt idx="1">
                  <c:v>1613.0</c:v>
                </c:pt>
                <c:pt idx="2">
                  <c:v>1620.0</c:v>
                </c:pt>
                <c:pt idx="3">
                  <c:v>1623.0</c:v>
                </c:pt>
                <c:pt idx="4">
                  <c:v>1640.0</c:v>
                </c:pt>
                <c:pt idx="5">
                  <c:v>1701.0</c:v>
                </c:pt>
                <c:pt idx="6">
                  <c:v>1703.0</c:v>
                </c:pt>
                <c:pt idx="7">
                  <c:v>1732.0</c:v>
                </c:pt>
                <c:pt idx="8">
                  <c:v>1735.0</c:v>
                </c:pt>
                <c:pt idx="9">
                  <c:v>1740.0</c:v>
                </c:pt>
                <c:pt idx="10">
                  <c:v>1742.0</c:v>
                </c:pt>
                <c:pt idx="11">
                  <c:v>1742.0</c:v>
                </c:pt>
                <c:pt idx="12">
                  <c:v>1748.0</c:v>
                </c:pt>
                <c:pt idx="13">
                  <c:v>1765.0</c:v>
                </c:pt>
                <c:pt idx="14">
                  <c:v>1780.0</c:v>
                </c:pt>
                <c:pt idx="15">
                  <c:v>1782.0</c:v>
                </c:pt>
                <c:pt idx="16">
                  <c:v>1800.0</c:v>
                </c:pt>
                <c:pt idx="17">
                  <c:v>1817.0</c:v>
                </c:pt>
                <c:pt idx="18">
                  <c:v>1825.0</c:v>
                </c:pt>
                <c:pt idx="19">
                  <c:v>1834.0</c:v>
                </c:pt>
                <c:pt idx="20">
                  <c:v>1840.0</c:v>
                </c:pt>
                <c:pt idx="21">
                  <c:v>1843.0</c:v>
                </c:pt>
                <c:pt idx="22">
                  <c:v>1850.0</c:v>
                </c:pt>
                <c:pt idx="23">
                  <c:v>1850.0</c:v>
                </c:pt>
                <c:pt idx="24">
                  <c:v>1854.0</c:v>
                </c:pt>
                <c:pt idx="25">
                  <c:v>1860.0</c:v>
                </c:pt>
                <c:pt idx="26">
                  <c:v>1867.0</c:v>
                </c:pt>
                <c:pt idx="27">
                  <c:v>1868.0</c:v>
                </c:pt>
                <c:pt idx="28">
                  <c:v>1873.0</c:v>
                </c:pt>
                <c:pt idx="29">
                  <c:v>1873.0</c:v>
                </c:pt>
                <c:pt idx="30">
                  <c:v>1877.0</c:v>
                </c:pt>
                <c:pt idx="31">
                  <c:v>1894.0</c:v>
                </c:pt>
                <c:pt idx="32">
                  <c:v>1894.0</c:v>
                </c:pt>
                <c:pt idx="33">
                  <c:v>1895.0</c:v>
                </c:pt>
                <c:pt idx="34">
                  <c:v>1899.0</c:v>
                </c:pt>
                <c:pt idx="35">
                  <c:v>1899.0</c:v>
                </c:pt>
                <c:pt idx="36">
                  <c:v>1900.0</c:v>
                </c:pt>
                <c:pt idx="37">
                  <c:v>1904.0</c:v>
                </c:pt>
                <c:pt idx="38">
                  <c:v>1904.0</c:v>
                </c:pt>
                <c:pt idx="39">
                  <c:v>1905.0</c:v>
                </c:pt>
                <c:pt idx="40">
                  <c:v>1910.0</c:v>
                </c:pt>
                <c:pt idx="41">
                  <c:v>1917.0</c:v>
                </c:pt>
                <c:pt idx="42">
                  <c:v>1917.0</c:v>
                </c:pt>
                <c:pt idx="43">
                  <c:v>1929.0</c:v>
                </c:pt>
                <c:pt idx="44">
                  <c:v>1930.0</c:v>
                </c:pt>
                <c:pt idx="45">
                  <c:v>1934.0</c:v>
                </c:pt>
                <c:pt idx="46">
                  <c:v>1939.0</c:v>
                </c:pt>
                <c:pt idx="47">
                  <c:v>1940.0</c:v>
                </c:pt>
                <c:pt idx="48">
                  <c:v>1941.0</c:v>
                </c:pt>
                <c:pt idx="49">
                  <c:v>1949.0</c:v>
                </c:pt>
                <c:pt idx="50">
                  <c:v>1950.0</c:v>
                </c:pt>
                <c:pt idx="51">
                  <c:v>1950.0</c:v>
                </c:pt>
                <c:pt idx="52">
                  <c:v>1954.0</c:v>
                </c:pt>
                <c:pt idx="53">
                  <c:v>1961.0</c:v>
                </c:pt>
                <c:pt idx="54">
                  <c:v>1961.0</c:v>
                </c:pt>
                <c:pt idx="55">
                  <c:v>1962.0</c:v>
                </c:pt>
                <c:pt idx="56">
                  <c:v>1964.0</c:v>
                </c:pt>
                <c:pt idx="57">
                  <c:v>1967.0</c:v>
                </c:pt>
                <c:pt idx="58">
                  <c:v>1968.0</c:v>
                </c:pt>
                <c:pt idx="59">
                  <c:v>1971.0</c:v>
                </c:pt>
                <c:pt idx="60">
                  <c:v>1973.0</c:v>
                </c:pt>
                <c:pt idx="61">
                  <c:v>1976.0</c:v>
                </c:pt>
                <c:pt idx="62">
                  <c:v>1977.0</c:v>
                </c:pt>
                <c:pt idx="63">
                  <c:v>1978.0</c:v>
                </c:pt>
                <c:pt idx="64">
                  <c:v>1981.0</c:v>
                </c:pt>
                <c:pt idx="65">
                  <c:v>1981.0</c:v>
                </c:pt>
                <c:pt idx="66">
                  <c:v>1988.0</c:v>
                </c:pt>
                <c:pt idx="67">
                  <c:v>1989.0</c:v>
                </c:pt>
                <c:pt idx="68">
                  <c:v>1990.0</c:v>
                </c:pt>
                <c:pt idx="69">
                  <c:v>1990.0</c:v>
                </c:pt>
                <c:pt idx="70">
                  <c:v>1994.0</c:v>
                </c:pt>
                <c:pt idx="71">
                  <c:v>1996.0</c:v>
                </c:pt>
                <c:pt idx="72">
                  <c:v>1997.0</c:v>
                </c:pt>
                <c:pt idx="73">
                  <c:v>1997.0</c:v>
                </c:pt>
                <c:pt idx="74">
                  <c:v>1997.0</c:v>
                </c:pt>
                <c:pt idx="75">
                  <c:v>1999.0</c:v>
                </c:pt>
                <c:pt idx="76">
                  <c:v>2000.0</c:v>
                </c:pt>
                <c:pt idx="77">
                  <c:v>2001.0</c:v>
                </c:pt>
                <c:pt idx="78">
                  <c:v>2001.0</c:v>
                </c:pt>
                <c:pt idx="79">
                  <c:v>2001.0</c:v>
                </c:pt>
                <c:pt idx="80">
                  <c:v>2001.0</c:v>
                </c:pt>
                <c:pt idx="81">
                  <c:v>2001.0</c:v>
                </c:pt>
                <c:pt idx="82">
                  <c:v>2002.0</c:v>
                </c:pt>
                <c:pt idx="83">
                  <c:v>2002.0</c:v>
                </c:pt>
                <c:pt idx="84">
                  <c:v>2002.0</c:v>
                </c:pt>
                <c:pt idx="85">
                  <c:v>2002.0</c:v>
                </c:pt>
                <c:pt idx="86">
                  <c:v>2002.0</c:v>
                </c:pt>
                <c:pt idx="87">
                  <c:v>2004.0</c:v>
                </c:pt>
                <c:pt idx="88">
                  <c:v>2004.0</c:v>
                </c:pt>
                <c:pt idx="89">
                  <c:v>2004.0</c:v>
                </c:pt>
                <c:pt idx="90">
                  <c:v>2006.0</c:v>
                </c:pt>
                <c:pt idx="91">
                  <c:v>2006.0</c:v>
                </c:pt>
                <c:pt idx="92">
                  <c:v>2006.0</c:v>
                </c:pt>
                <c:pt idx="93">
                  <c:v>2007.0</c:v>
                </c:pt>
                <c:pt idx="94">
                  <c:v>2007.0</c:v>
                </c:pt>
                <c:pt idx="95">
                  <c:v>2007.0</c:v>
                </c:pt>
                <c:pt idx="96">
                  <c:v>2007.0</c:v>
                </c:pt>
                <c:pt idx="97">
                  <c:v>2008.0</c:v>
                </c:pt>
                <c:pt idx="98">
                  <c:v>2008.0</c:v>
                </c:pt>
                <c:pt idx="99">
                  <c:v>2009.0</c:v>
                </c:pt>
                <c:pt idx="100">
                  <c:v>2009.0</c:v>
                </c:pt>
                <c:pt idx="101">
                  <c:v>2009.0</c:v>
                </c:pt>
                <c:pt idx="102">
                  <c:v>2009.0</c:v>
                </c:pt>
                <c:pt idx="103">
                  <c:v>2010.0</c:v>
                </c:pt>
                <c:pt idx="104">
                  <c:v>2010.0</c:v>
                </c:pt>
                <c:pt idx="105">
                  <c:v>2011.0</c:v>
                </c:pt>
                <c:pt idx="106">
                  <c:v>2012.0</c:v>
                </c:pt>
                <c:pt idx="107">
                  <c:v>2013.0</c:v>
                </c:pt>
                <c:pt idx="108">
                  <c:v>2013.0</c:v>
                </c:pt>
                <c:pt idx="109">
                  <c:v>2013.0</c:v>
                </c:pt>
                <c:pt idx="110">
                  <c:v>2015.0</c:v>
                </c:pt>
                <c:pt idx="111">
                  <c:v>2015.0</c:v>
                </c:pt>
                <c:pt idx="112">
                  <c:v>2016.0</c:v>
                </c:pt>
                <c:pt idx="113">
                  <c:v>2016.0</c:v>
                </c:pt>
                <c:pt idx="114">
                  <c:v>2018.0</c:v>
                </c:pt>
                <c:pt idx="115">
                  <c:v>2018.0</c:v>
                </c:pt>
                <c:pt idx="116">
                  <c:v>2021.0</c:v>
                </c:pt>
                <c:pt idx="117">
                  <c:v>2026.0</c:v>
                </c:pt>
                <c:pt idx="118">
                  <c:v>2028.0</c:v>
                </c:pt>
                <c:pt idx="119">
                  <c:v>2029.0</c:v>
                </c:pt>
                <c:pt idx="120">
                  <c:v>2029.0</c:v>
                </c:pt>
                <c:pt idx="121">
                  <c:v>2031.0</c:v>
                </c:pt>
                <c:pt idx="122">
                  <c:v>2031.0</c:v>
                </c:pt>
                <c:pt idx="123">
                  <c:v>2031.0</c:v>
                </c:pt>
                <c:pt idx="124">
                  <c:v>2032.0</c:v>
                </c:pt>
                <c:pt idx="125">
                  <c:v>2032.0</c:v>
                </c:pt>
                <c:pt idx="126">
                  <c:v>2036.0</c:v>
                </c:pt>
                <c:pt idx="127">
                  <c:v>2036.0</c:v>
                </c:pt>
                <c:pt idx="128">
                  <c:v>2038.0</c:v>
                </c:pt>
                <c:pt idx="129">
                  <c:v>2038.0</c:v>
                </c:pt>
                <c:pt idx="130">
                  <c:v>2040.0</c:v>
                </c:pt>
                <c:pt idx="131">
                  <c:v>2042.0</c:v>
                </c:pt>
                <c:pt idx="132">
                  <c:v>2043.0</c:v>
                </c:pt>
                <c:pt idx="133">
                  <c:v>2045.0</c:v>
                </c:pt>
                <c:pt idx="134">
                  <c:v>2049.0</c:v>
                </c:pt>
                <c:pt idx="135">
                  <c:v>2049.0</c:v>
                </c:pt>
                <c:pt idx="136">
                  <c:v>2050.0</c:v>
                </c:pt>
                <c:pt idx="137">
                  <c:v>2051.0</c:v>
                </c:pt>
                <c:pt idx="138">
                  <c:v>2052.0</c:v>
                </c:pt>
                <c:pt idx="139">
                  <c:v>2052.0</c:v>
                </c:pt>
                <c:pt idx="140">
                  <c:v>2052.0</c:v>
                </c:pt>
                <c:pt idx="141">
                  <c:v>2055.0</c:v>
                </c:pt>
                <c:pt idx="142">
                  <c:v>2056.0</c:v>
                </c:pt>
                <c:pt idx="143">
                  <c:v>2059.0</c:v>
                </c:pt>
                <c:pt idx="144">
                  <c:v>2061.0</c:v>
                </c:pt>
                <c:pt idx="145">
                  <c:v>2063.0</c:v>
                </c:pt>
                <c:pt idx="146">
                  <c:v>2066.0</c:v>
                </c:pt>
                <c:pt idx="147">
                  <c:v>2068.0</c:v>
                </c:pt>
                <c:pt idx="148">
                  <c:v>2069.0</c:v>
                </c:pt>
                <c:pt idx="149">
                  <c:v>2072.0</c:v>
                </c:pt>
                <c:pt idx="150">
                  <c:v>2075.0</c:v>
                </c:pt>
                <c:pt idx="151">
                  <c:v>2077.0</c:v>
                </c:pt>
                <c:pt idx="152">
                  <c:v>2079.0</c:v>
                </c:pt>
                <c:pt idx="153">
                  <c:v>2082.0</c:v>
                </c:pt>
                <c:pt idx="154">
                  <c:v>2085.0</c:v>
                </c:pt>
                <c:pt idx="155">
                  <c:v>2090.0</c:v>
                </c:pt>
                <c:pt idx="156">
                  <c:v>2092.0</c:v>
                </c:pt>
                <c:pt idx="157">
                  <c:v>2092.0</c:v>
                </c:pt>
                <c:pt idx="158">
                  <c:v>2093.0</c:v>
                </c:pt>
                <c:pt idx="159">
                  <c:v>2095.0</c:v>
                </c:pt>
                <c:pt idx="160">
                  <c:v>2098.0</c:v>
                </c:pt>
                <c:pt idx="161">
                  <c:v>2100.0</c:v>
                </c:pt>
                <c:pt idx="162">
                  <c:v>2102.0</c:v>
                </c:pt>
                <c:pt idx="163">
                  <c:v>2102.0</c:v>
                </c:pt>
                <c:pt idx="164">
                  <c:v>2104.0</c:v>
                </c:pt>
                <c:pt idx="165">
                  <c:v>2109.0</c:v>
                </c:pt>
                <c:pt idx="166">
                  <c:v>2109.0</c:v>
                </c:pt>
                <c:pt idx="167">
                  <c:v>2110.0</c:v>
                </c:pt>
                <c:pt idx="168">
                  <c:v>2118.0</c:v>
                </c:pt>
                <c:pt idx="169">
                  <c:v>2119.0</c:v>
                </c:pt>
                <c:pt idx="170">
                  <c:v>2120.0</c:v>
                </c:pt>
                <c:pt idx="171">
                  <c:v>2126.0</c:v>
                </c:pt>
                <c:pt idx="172">
                  <c:v>2126.0</c:v>
                </c:pt>
                <c:pt idx="173">
                  <c:v>2127.0</c:v>
                </c:pt>
                <c:pt idx="174">
                  <c:v>2128.0</c:v>
                </c:pt>
                <c:pt idx="175">
                  <c:v>2128.0</c:v>
                </c:pt>
                <c:pt idx="176">
                  <c:v>2129.0</c:v>
                </c:pt>
                <c:pt idx="177">
                  <c:v>2130.0</c:v>
                </c:pt>
                <c:pt idx="178">
                  <c:v>2132.0</c:v>
                </c:pt>
                <c:pt idx="179">
                  <c:v>2133.0</c:v>
                </c:pt>
                <c:pt idx="180">
                  <c:v>2143.0</c:v>
                </c:pt>
                <c:pt idx="181">
                  <c:v>2145.0</c:v>
                </c:pt>
                <c:pt idx="182">
                  <c:v>2147.0</c:v>
                </c:pt>
                <c:pt idx="183">
                  <c:v>2149.0</c:v>
                </c:pt>
                <c:pt idx="184">
                  <c:v>2150.0</c:v>
                </c:pt>
                <c:pt idx="185">
                  <c:v>2155.0</c:v>
                </c:pt>
                <c:pt idx="186">
                  <c:v>2160.0</c:v>
                </c:pt>
                <c:pt idx="187">
                  <c:v>2167.0</c:v>
                </c:pt>
                <c:pt idx="188">
                  <c:v>2169.0</c:v>
                </c:pt>
                <c:pt idx="189">
                  <c:v>2169.0</c:v>
                </c:pt>
                <c:pt idx="190">
                  <c:v>2169.0</c:v>
                </c:pt>
                <c:pt idx="191">
                  <c:v>2170.0</c:v>
                </c:pt>
                <c:pt idx="192">
                  <c:v>2182.0</c:v>
                </c:pt>
                <c:pt idx="193">
                  <c:v>2182.0</c:v>
                </c:pt>
                <c:pt idx="194">
                  <c:v>2186.0</c:v>
                </c:pt>
                <c:pt idx="195">
                  <c:v>2189.0</c:v>
                </c:pt>
                <c:pt idx="196">
                  <c:v>2196.0</c:v>
                </c:pt>
                <c:pt idx="197">
                  <c:v>2203.0</c:v>
                </c:pt>
                <c:pt idx="198">
                  <c:v>2209.0</c:v>
                </c:pt>
                <c:pt idx="199">
                  <c:v>2212.0</c:v>
                </c:pt>
                <c:pt idx="200">
                  <c:v>2215.0</c:v>
                </c:pt>
                <c:pt idx="201">
                  <c:v>2215.0</c:v>
                </c:pt>
                <c:pt idx="202">
                  <c:v>2239.0</c:v>
                </c:pt>
                <c:pt idx="203">
                  <c:v>2262.0</c:v>
                </c:pt>
                <c:pt idx="204">
                  <c:v>2299.0</c:v>
                </c:pt>
                <c:pt idx="205">
                  <c:v>2310.0</c:v>
                </c:pt>
                <c:pt idx="206">
                  <c:v>2319.0</c:v>
                </c:pt>
                <c:pt idx="207">
                  <c:v>2326.0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3"/>
          <c:order val="3"/>
          <c:tx>
            <c:v>Gain 40 Cents actual</c:v>
          </c:tx>
          <c:spPr>
            <a:ln>
              <a:noFill/>
            </a:ln>
          </c:spPr>
          <c:marker>
            <c:symbol val="circle"/>
            <c:size val="5"/>
            <c:spPr>
              <a:solidFill>
                <a:srgbClr val="C00000"/>
              </a:solidFill>
              <a:ln>
                <a:solidFill>
                  <a:srgbClr val="C00000"/>
                </a:solidFill>
              </a:ln>
            </c:spPr>
          </c:marker>
          <c:xVal>
            <c:numRef>
              <c:f>'Fig6 Data'!$N$214</c:f>
              <c:numCache>
                <c:formatCode>General</c:formatCode>
                <c:ptCount val="1"/>
                <c:pt idx="0">
                  <c:v>2136.0</c:v>
                </c:pt>
              </c:numCache>
            </c:numRef>
          </c:xVal>
          <c:yVal>
            <c:numRef>
              <c:f>'Fig6 Data'!$C$199</c:f>
              <c:numCache>
                <c:formatCode>General</c:formatCode>
                <c:ptCount val="1"/>
                <c:pt idx="0">
                  <c:v>0.942307692307692</c:v>
                </c:pt>
              </c:numCache>
            </c:numRef>
          </c:yVal>
          <c:smooth val="1"/>
        </c:ser>
        <c:ser>
          <c:idx val="4"/>
          <c:order val="4"/>
          <c:tx>
            <c:v>Loss 40 Cents actual</c:v>
          </c:tx>
          <c:spPr>
            <a:ln>
              <a:noFill/>
            </a:ln>
          </c:spPr>
          <c:marker>
            <c:symbol val="circle"/>
            <c:size val="5"/>
            <c:spPr>
              <a:solidFill>
                <a:srgbClr val="C00000"/>
              </a:solidFill>
              <a:ln>
                <a:solidFill>
                  <a:srgbClr val="C00000"/>
                </a:solidFill>
              </a:ln>
            </c:spPr>
          </c:marker>
          <c:xVal>
            <c:numRef>
              <c:f>'Fig6 Data'!$O$214</c:f>
              <c:numCache>
                <c:formatCode>General</c:formatCode>
                <c:ptCount val="1"/>
                <c:pt idx="0">
                  <c:v>2155.0</c:v>
                </c:pt>
              </c:numCache>
            </c:numRef>
          </c:xVal>
          <c:yVal>
            <c:numRef>
              <c:f>'Fig6 Data'!$C$192</c:f>
              <c:numCache>
                <c:formatCode>General</c:formatCode>
                <c:ptCount val="1"/>
                <c:pt idx="0">
                  <c:v>0.908653846153846</c:v>
                </c:pt>
              </c:numCache>
            </c:numRef>
          </c:yVal>
          <c:smooth val="1"/>
        </c:ser>
        <c:ser>
          <c:idx val="5"/>
          <c:order val="5"/>
          <c:tx>
            <c:v>Actual Effort Level</c:v>
          </c:tx>
          <c:spPr>
            <a:ln>
              <a:noFill/>
            </a:ln>
          </c:spPr>
          <c:marker>
            <c:symbol val="circle"/>
            <c:size val="5"/>
            <c:spPr>
              <a:solidFill>
                <a:srgbClr val="C00000"/>
              </a:solidFill>
              <a:ln>
                <a:solidFill>
                  <a:srgbClr val="C00000"/>
                </a:solidFill>
              </a:ln>
            </c:spPr>
          </c:marker>
          <c:xVal>
            <c:numRef>
              <c:f>'Fig6 Data'!$P$214</c:f>
              <c:numCache>
                <c:formatCode>General</c:formatCode>
                <c:ptCount val="1"/>
                <c:pt idx="0">
                  <c:v>2188.0</c:v>
                </c:pt>
              </c:numCache>
            </c:numRef>
          </c:xVal>
          <c:yVal>
            <c:numRef>
              <c:f>'Fig6 Data'!$C$199</c:f>
              <c:numCache>
                <c:formatCode>General</c:formatCode>
                <c:ptCount val="1"/>
                <c:pt idx="0">
                  <c:v>0.942307692307692</c:v>
                </c:pt>
              </c:numCache>
            </c:numRef>
          </c:yVal>
          <c:smooth val="1"/>
        </c:ser>
        <c:ser>
          <c:idx val="6"/>
          <c:order val="6"/>
          <c:tx>
            <c:v>20th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Data'!$AA$4:$AA$211</c:f>
              <c:numCache>
                <c:formatCode>0.00</c:formatCode>
                <c:ptCount val="208"/>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0.2</c:v>
                </c:pt>
                <c:pt idx="49">
                  <c:v>0.2</c:v>
                </c:pt>
                <c:pt idx="50">
                  <c:v>0.2</c:v>
                </c:pt>
                <c:pt idx="51">
                  <c:v>0.2</c:v>
                </c:pt>
                <c:pt idx="52">
                  <c:v>0.2</c:v>
                </c:pt>
                <c:pt idx="53">
                  <c:v>0.2</c:v>
                </c:pt>
                <c:pt idx="54">
                  <c:v>0.2</c:v>
                </c:pt>
                <c:pt idx="55">
                  <c:v>0.2</c:v>
                </c:pt>
                <c:pt idx="56">
                  <c:v>0.2</c:v>
                </c:pt>
                <c:pt idx="57">
                  <c:v>0.2</c:v>
                </c:pt>
                <c:pt idx="58">
                  <c:v>0.2</c:v>
                </c:pt>
                <c:pt idx="59">
                  <c:v>0.2</c:v>
                </c:pt>
                <c:pt idx="60">
                  <c:v>0.2</c:v>
                </c:pt>
                <c:pt idx="61">
                  <c:v>0.2</c:v>
                </c:pt>
                <c:pt idx="62">
                  <c:v>0.2</c:v>
                </c:pt>
                <c:pt idx="63">
                  <c:v>0.2</c:v>
                </c:pt>
                <c:pt idx="64">
                  <c:v>0.2</c:v>
                </c:pt>
                <c:pt idx="65">
                  <c:v>0.2</c:v>
                </c:pt>
                <c:pt idx="66">
                  <c:v>0.2</c:v>
                </c:pt>
                <c:pt idx="67">
                  <c:v>0.2</c:v>
                </c:pt>
                <c:pt idx="68">
                  <c:v>0.2</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0.2</c:v>
                </c:pt>
                <c:pt idx="85">
                  <c:v>0.2</c:v>
                </c:pt>
                <c:pt idx="86">
                  <c:v>0.2</c:v>
                </c:pt>
                <c:pt idx="87">
                  <c:v>0.2</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0.2</c:v>
                </c:pt>
                <c:pt idx="105">
                  <c:v>0.2</c:v>
                </c:pt>
                <c:pt idx="106">
                  <c:v>0.2</c:v>
                </c:pt>
                <c:pt idx="107">
                  <c:v>0.2</c:v>
                </c:pt>
                <c:pt idx="108">
                  <c:v>0.2</c:v>
                </c:pt>
                <c:pt idx="109">
                  <c:v>0.2</c:v>
                </c:pt>
                <c:pt idx="110">
                  <c:v>0.2</c:v>
                </c:pt>
                <c:pt idx="111">
                  <c:v>0.2</c:v>
                </c:pt>
                <c:pt idx="112">
                  <c:v>0.2</c:v>
                </c:pt>
                <c:pt idx="113">
                  <c:v>0.2</c:v>
                </c:pt>
                <c:pt idx="114">
                  <c:v>0.2</c:v>
                </c:pt>
                <c:pt idx="115">
                  <c:v>0.2</c:v>
                </c:pt>
                <c:pt idx="116">
                  <c:v>0.2</c:v>
                </c:pt>
                <c:pt idx="117">
                  <c:v>0.2</c:v>
                </c:pt>
                <c:pt idx="118">
                  <c:v>0.2</c:v>
                </c:pt>
                <c:pt idx="119">
                  <c:v>0.2</c:v>
                </c:pt>
                <c:pt idx="120">
                  <c:v>0.2</c:v>
                </c:pt>
                <c:pt idx="121">
                  <c:v>0.2</c:v>
                </c:pt>
                <c:pt idx="122">
                  <c:v>0.2</c:v>
                </c:pt>
                <c:pt idx="123">
                  <c:v>0.2</c:v>
                </c:pt>
                <c:pt idx="124">
                  <c:v>0.2</c:v>
                </c:pt>
                <c:pt idx="125">
                  <c:v>0.2</c:v>
                </c:pt>
                <c:pt idx="126">
                  <c:v>0.2</c:v>
                </c:pt>
                <c:pt idx="127">
                  <c:v>0.2</c:v>
                </c:pt>
                <c:pt idx="128">
                  <c:v>0.2</c:v>
                </c:pt>
                <c:pt idx="129">
                  <c:v>0.2</c:v>
                </c:pt>
                <c:pt idx="130">
                  <c:v>0.2</c:v>
                </c:pt>
                <c:pt idx="131">
                  <c:v>0.2</c:v>
                </c:pt>
                <c:pt idx="132">
                  <c:v>0.2</c:v>
                </c:pt>
                <c:pt idx="133">
                  <c:v>0.2</c:v>
                </c:pt>
                <c:pt idx="134">
                  <c:v>0.2</c:v>
                </c:pt>
                <c:pt idx="135">
                  <c:v>0.2</c:v>
                </c:pt>
                <c:pt idx="136">
                  <c:v>0.2</c:v>
                </c:pt>
                <c:pt idx="137">
                  <c:v>0.2</c:v>
                </c:pt>
                <c:pt idx="138">
                  <c:v>0.2</c:v>
                </c:pt>
                <c:pt idx="139">
                  <c:v>0.2</c:v>
                </c:pt>
                <c:pt idx="140">
                  <c:v>0.2</c:v>
                </c:pt>
                <c:pt idx="141">
                  <c:v>0.2</c:v>
                </c:pt>
                <c:pt idx="142">
                  <c:v>0.2</c:v>
                </c:pt>
                <c:pt idx="143">
                  <c:v>0.2</c:v>
                </c:pt>
                <c:pt idx="144">
                  <c:v>0.2</c:v>
                </c:pt>
                <c:pt idx="145">
                  <c:v>0.2</c:v>
                </c:pt>
                <c:pt idx="146">
                  <c:v>0.2</c:v>
                </c:pt>
                <c:pt idx="147">
                  <c:v>0.2</c:v>
                </c:pt>
                <c:pt idx="148">
                  <c:v>0.2</c:v>
                </c:pt>
                <c:pt idx="149">
                  <c:v>0.2</c:v>
                </c:pt>
                <c:pt idx="150">
                  <c:v>0.2</c:v>
                </c:pt>
                <c:pt idx="151">
                  <c:v>0.2</c:v>
                </c:pt>
                <c:pt idx="152">
                  <c:v>0.2</c:v>
                </c:pt>
                <c:pt idx="153">
                  <c:v>0.2</c:v>
                </c:pt>
                <c:pt idx="154">
                  <c:v>0.2</c:v>
                </c:pt>
                <c:pt idx="155">
                  <c:v>0.2</c:v>
                </c:pt>
                <c:pt idx="156">
                  <c:v>0.2</c:v>
                </c:pt>
                <c:pt idx="157">
                  <c:v>0.2</c:v>
                </c:pt>
                <c:pt idx="158">
                  <c:v>0.2</c:v>
                </c:pt>
                <c:pt idx="159">
                  <c:v>0.2</c:v>
                </c:pt>
                <c:pt idx="160">
                  <c:v>0.2</c:v>
                </c:pt>
                <c:pt idx="161">
                  <c:v>0.2</c:v>
                </c:pt>
                <c:pt idx="162">
                  <c:v>0.2</c:v>
                </c:pt>
                <c:pt idx="163">
                  <c:v>0.2</c:v>
                </c:pt>
                <c:pt idx="164">
                  <c:v>0.2</c:v>
                </c:pt>
                <c:pt idx="165">
                  <c:v>0.2</c:v>
                </c:pt>
                <c:pt idx="166">
                  <c:v>0.2</c:v>
                </c:pt>
                <c:pt idx="167">
                  <c:v>0.2</c:v>
                </c:pt>
                <c:pt idx="168">
                  <c:v>0.2</c:v>
                </c:pt>
                <c:pt idx="169">
                  <c:v>0.2</c:v>
                </c:pt>
                <c:pt idx="170">
                  <c:v>0.2</c:v>
                </c:pt>
                <c:pt idx="171">
                  <c:v>0.2</c:v>
                </c:pt>
                <c:pt idx="172">
                  <c:v>0.2</c:v>
                </c:pt>
                <c:pt idx="173">
                  <c:v>0.2</c:v>
                </c:pt>
                <c:pt idx="174">
                  <c:v>0.2</c:v>
                </c:pt>
                <c:pt idx="175">
                  <c:v>0.2</c:v>
                </c:pt>
                <c:pt idx="176">
                  <c:v>0.2</c:v>
                </c:pt>
                <c:pt idx="177">
                  <c:v>0.2</c:v>
                </c:pt>
                <c:pt idx="178">
                  <c:v>0.2</c:v>
                </c:pt>
                <c:pt idx="179">
                  <c:v>0.2</c:v>
                </c:pt>
                <c:pt idx="180">
                  <c:v>0.2</c:v>
                </c:pt>
                <c:pt idx="181">
                  <c:v>0.2</c:v>
                </c:pt>
                <c:pt idx="182">
                  <c:v>0.2</c:v>
                </c:pt>
                <c:pt idx="183">
                  <c:v>0.2</c:v>
                </c:pt>
                <c:pt idx="184">
                  <c:v>0.2</c:v>
                </c:pt>
                <c:pt idx="185">
                  <c:v>0.2</c:v>
                </c:pt>
                <c:pt idx="186">
                  <c:v>0.2</c:v>
                </c:pt>
                <c:pt idx="187">
                  <c:v>0.2</c:v>
                </c:pt>
                <c:pt idx="188">
                  <c:v>0.2</c:v>
                </c:pt>
                <c:pt idx="189">
                  <c:v>0.2</c:v>
                </c:pt>
                <c:pt idx="190">
                  <c:v>0.2</c:v>
                </c:pt>
                <c:pt idx="191">
                  <c:v>0.2</c:v>
                </c:pt>
                <c:pt idx="192">
                  <c:v>0.2</c:v>
                </c:pt>
                <c:pt idx="193">
                  <c:v>0.2</c:v>
                </c:pt>
                <c:pt idx="194">
                  <c:v>0.2</c:v>
                </c:pt>
                <c:pt idx="195">
                  <c:v>0.2</c:v>
                </c:pt>
                <c:pt idx="196">
                  <c:v>0.2</c:v>
                </c:pt>
                <c:pt idx="197">
                  <c:v>0.2</c:v>
                </c:pt>
                <c:pt idx="198">
                  <c:v>0.2</c:v>
                </c:pt>
                <c:pt idx="199">
                  <c:v>0.2</c:v>
                </c:pt>
                <c:pt idx="200">
                  <c:v>0.2</c:v>
                </c:pt>
                <c:pt idx="201">
                  <c:v>0.2</c:v>
                </c:pt>
                <c:pt idx="202">
                  <c:v>0.2</c:v>
                </c:pt>
                <c:pt idx="203">
                  <c:v>0.2</c:v>
                </c:pt>
                <c:pt idx="204">
                  <c:v>0.2</c:v>
                </c:pt>
                <c:pt idx="205">
                  <c:v>0.2</c:v>
                </c:pt>
                <c:pt idx="206">
                  <c:v>0.2</c:v>
                </c:pt>
                <c:pt idx="207">
                  <c:v>0.2</c:v>
                </c:pt>
              </c:numCache>
            </c:numRef>
          </c:yVal>
          <c:smooth val="1"/>
        </c:ser>
        <c:ser>
          <c:idx val="7"/>
          <c:order val="7"/>
          <c:tx>
            <c:v>Median</c:v>
          </c:tx>
          <c:spPr>
            <a:ln w="25400" cmpd="sng">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Data'!$AB$4:$AB$211</c:f>
              <c:numCache>
                <c:formatCode>0.00</c:formatCode>
                <c:ptCount val="208"/>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numCache>
            </c:numRef>
          </c:yVal>
          <c:smooth val="1"/>
        </c:ser>
        <c:ser>
          <c:idx val="8"/>
          <c:order val="8"/>
          <c:tx>
            <c:v>80th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Data'!$AC$4:$AC$211</c:f>
              <c:numCache>
                <c:formatCode>0.00</c:formatCode>
                <c:ptCount val="208"/>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pt idx="32">
                  <c:v>0.8</c:v>
                </c:pt>
                <c:pt idx="33">
                  <c:v>0.8</c:v>
                </c:pt>
                <c:pt idx="34">
                  <c:v>0.8</c:v>
                </c:pt>
                <c:pt idx="35">
                  <c:v>0.8</c:v>
                </c:pt>
                <c:pt idx="36">
                  <c:v>0.8</c:v>
                </c:pt>
                <c:pt idx="37">
                  <c:v>0.8</c:v>
                </c:pt>
                <c:pt idx="38">
                  <c:v>0.8</c:v>
                </c:pt>
                <c:pt idx="39">
                  <c:v>0.8</c:v>
                </c:pt>
                <c:pt idx="40">
                  <c:v>0.8</c:v>
                </c:pt>
                <c:pt idx="41">
                  <c:v>0.8</c:v>
                </c:pt>
                <c:pt idx="42">
                  <c:v>0.8</c:v>
                </c:pt>
                <c:pt idx="43">
                  <c:v>0.8</c:v>
                </c:pt>
                <c:pt idx="44">
                  <c:v>0.8</c:v>
                </c:pt>
                <c:pt idx="45">
                  <c:v>0.8</c:v>
                </c:pt>
                <c:pt idx="46">
                  <c:v>0.8</c:v>
                </c:pt>
                <c:pt idx="47">
                  <c:v>0.8</c:v>
                </c:pt>
                <c:pt idx="48">
                  <c:v>0.8</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c:v>
                </c:pt>
                <c:pt idx="70">
                  <c:v>0.8</c:v>
                </c:pt>
                <c:pt idx="71">
                  <c:v>0.8</c:v>
                </c:pt>
                <c:pt idx="72">
                  <c:v>0.8</c:v>
                </c:pt>
                <c:pt idx="73">
                  <c:v>0.8</c:v>
                </c:pt>
                <c:pt idx="74">
                  <c:v>0.8</c:v>
                </c:pt>
                <c:pt idx="75">
                  <c:v>0.8</c:v>
                </c:pt>
                <c:pt idx="76">
                  <c:v>0.8</c:v>
                </c:pt>
                <c:pt idx="77">
                  <c:v>0.8</c:v>
                </c:pt>
                <c:pt idx="78">
                  <c:v>0.8</c:v>
                </c:pt>
                <c:pt idx="79">
                  <c:v>0.8</c:v>
                </c:pt>
                <c:pt idx="80">
                  <c:v>0.8</c:v>
                </c:pt>
                <c:pt idx="81">
                  <c:v>0.8</c:v>
                </c:pt>
                <c:pt idx="82">
                  <c:v>0.8</c:v>
                </c:pt>
                <c:pt idx="83">
                  <c:v>0.8</c:v>
                </c:pt>
                <c:pt idx="84">
                  <c:v>0.8</c:v>
                </c:pt>
                <c:pt idx="85">
                  <c:v>0.8</c:v>
                </c:pt>
                <c:pt idx="86">
                  <c:v>0.8</c:v>
                </c:pt>
                <c:pt idx="87">
                  <c:v>0.8</c:v>
                </c:pt>
                <c:pt idx="88">
                  <c:v>0.8</c:v>
                </c:pt>
                <c:pt idx="89">
                  <c:v>0.8</c:v>
                </c:pt>
                <c:pt idx="90">
                  <c:v>0.8</c:v>
                </c:pt>
                <c:pt idx="91">
                  <c:v>0.8</c:v>
                </c:pt>
                <c:pt idx="92">
                  <c:v>0.8</c:v>
                </c:pt>
                <c:pt idx="93">
                  <c:v>0.8</c:v>
                </c:pt>
                <c:pt idx="94">
                  <c:v>0.8</c:v>
                </c:pt>
                <c:pt idx="95">
                  <c:v>0.8</c:v>
                </c:pt>
                <c:pt idx="96">
                  <c:v>0.8</c:v>
                </c:pt>
                <c:pt idx="97">
                  <c:v>0.8</c:v>
                </c:pt>
                <c:pt idx="98">
                  <c:v>0.8</c:v>
                </c:pt>
                <c:pt idx="99">
                  <c:v>0.8</c:v>
                </c:pt>
                <c:pt idx="100">
                  <c:v>0.8</c:v>
                </c:pt>
                <c:pt idx="101">
                  <c:v>0.8</c:v>
                </c:pt>
                <c:pt idx="102">
                  <c:v>0.8</c:v>
                </c:pt>
                <c:pt idx="103">
                  <c:v>0.8</c:v>
                </c:pt>
                <c:pt idx="104">
                  <c:v>0.8</c:v>
                </c:pt>
                <c:pt idx="105">
                  <c:v>0.8</c:v>
                </c:pt>
                <c:pt idx="106">
                  <c:v>0.8</c:v>
                </c:pt>
                <c:pt idx="107">
                  <c:v>0.8</c:v>
                </c:pt>
                <c:pt idx="108">
                  <c:v>0.8</c:v>
                </c:pt>
                <c:pt idx="109">
                  <c:v>0.8</c:v>
                </c:pt>
                <c:pt idx="110">
                  <c:v>0.8</c:v>
                </c:pt>
                <c:pt idx="111">
                  <c:v>0.8</c:v>
                </c:pt>
                <c:pt idx="112">
                  <c:v>0.8</c:v>
                </c:pt>
                <c:pt idx="113">
                  <c:v>0.8</c:v>
                </c:pt>
                <c:pt idx="114">
                  <c:v>0.8</c:v>
                </c:pt>
                <c:pt idx="115">
                  <c:v>0.8</c:v>
                </c:pt>
                <c:pt idx="116">
                  <c:v>0.8</c:v>
                </c:pt>
                <c:pt idx="117">
                  <c:v>0.8</c:v>
                </c:pt>
                <c:pt idx="118">
                  <c:v>0.8</c:v>
                </c:pt>
                <c:pt idx="119">
                  <c:v>0.8</c:v>
                </c:pt>
                <c:pt idx="120">
                  <c:v>0.8</c:v>
                </c:pt>
                <c:pt idx="121">
                  <c:v>0.8</c:v>
                </c:pt>
                <c:pt idx="122">
                  <c:v>0.8</c:v>
                </c:pt>
                <c:pt idx="123">
                  <c:v>0.8</c:v>
                </c:pt>
                <c:pt idx="124">
                  <c:v>0.8</c:v>
                </c:pt>
                <c:pt idx="125">
                  <c:v>0.8</c:v>
                </c:pt>
                <c:pt idx="126">
                  <c:v>0.8</c:v>
                </c:pt>
                <c:pt idx="127">
                  <c:v>0.8</c:v>
                </c:pt>
                <c:pt idx="128">
                  <c:v>0.8</c:v>
                </c:pt>
                <c:pt idx="129">
                  <c:v>0.8</c:v>
                </c:pt>
                <c:pt idx="130">
                  <c:v>0.8</c:v>
                </c:pt>
                <c:pt idx="131">
                  <c:v>0.8</c:v>
                </c:pt>
                <c:pt idx="132">
                  <c:v>0.8</c:v>
                </c:pt>
                <c:pt idx="133">
                  <c:v>0.8</c:v>
                </c:pt>
                <c:pt idx="134">
                  <c:v>0.8</c:v>
                </c:pt>
                <c:pt idx="135">
                  <c:v>0.8</c:v>
                </c:pt>
                <c:pt idx="136">
                  <c:v>0.8</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pt idx="150">
                  <c:v>0.8</c:v>
                </c:pt>
                <c:pt idx="151">
                  <c:v>0.8</c:v>
                </c:pt>
                <c:pt idx="152">
                  <c:v>0.8</c:v>
                </c:pt>
                <c:pt idx="153">
                  <c:v>0.8</c:v>
                </c:pt>
                <c:pt idx="154">
                  <c:v>0.8</c:v>
                </c:pt>
                <c:pt idx="155">
                  <c:v>0.8</c:v>
                </c:pt>
                <c:pt idx="156">
                  <c:v>0.8</c:v>
                </c:pt>
                <c:pt idx="157">
                  <c:v>0.8</c:v>
                </c:pt>
                <c:pt idx="158">
                  <c:v>0.8</c:v>
                </c:pt>
                <c:pt idx="159">
                  <c:v>0.8</c:v>
                </c:pt>
                <c:pt idx="160">
                  <c:v>0.8</c:v>
                </c:pt>
                <c:pt idx="161">
                  <c:v>0.8</c:v>
                </c:pt>
                <c:pt idx="162">
                  <c:v>0.8</c:v>
                </c:pt>
                <c:pt idx="163">
                  <c:v>0.8</c:v>
                </c:pt>
                <c:pt idx="164">
                  <c:v>0.8</c:v>
                </c:pt>
                <c:pt idx="165">
                  <c:v>0.8</c:v>
                </c:pt>
                <c:pt idx="166">
                  <c:v>0.8</c:v>
                </c:pt>
                <c:pt idx="167">
                  <c:v>0.8</c:v>
                </c:pt>
                <c:pt idx="168">
                  <c:v>0.8</c:v>
                </c:pt>
                <c:pt idx="169">
                  <c:v>0.8</c:v>
                </c:pt>
                <c:pt idx="170">
                  <c:v>0.8</c:v>
                </c:pt>
                <c:pt idx="171">
                  <c:v>0.8</c:v>
                </c:pt>
                <c:pt idx="172">
                  <c:v>0.8</c:v>
                </c:pt>
                <c:pt idx="173">
                  <c:v>0.8</c:v>
                </c:pt>
                <c:pt idx="174">
                  <c:v>0.8</c:v>
                </c:pt>
                <c:pt idx="175">
                  <c:v>0.8</c:v>
                </c:pt>
                <c:pt idx="176">
                  <c:v>0.8</c:v>
                </c:pt>
                <c:pt idx="177">
                  <c:v>0.8</c:v>
                </c:pt>
                <c:pt idx="178">
                  <c:v>0.8</c:v>
                </c:pt>
                <c:pt idx="179">
                  <c:v>0.8</c:v>
                </c:pt>
                <c:pt idx="180">
                  <c:v>0.8</c:v>
                </c:pt>
                <c:pt idx="181">
                  <c:v>0.8</c:v>
                </c:pt>
                <c:pt idx="182">
                  <c:v>0.8</c:v>
                </c:pt>
                <c:pt idx="183">
                  <c:v>0.8</c:v>
                </c:pt>
                <c:pt idx="184">
                  <c:v>0.8</c:v>
                </c:pt>
                <c:pt idx="185">
                  <c:v>0.8</c:v>
                </c:pt>
                <c:pt idx="186">
                  <c:v>0.8</c:v>
                </c:pt>
                <c:pt idx="187">
                  <c:v>0.8</c:v>
                </c:pt>
                <c:pt idx="188">
                  <c:v>0.8</c:v>
                </c:pt>
                <c:pt idx="189">
                  <c:v>0.8</c:v>
                </c:pt>
                <c:pt idx="190">
                  <c:v>0.8</c:v>
                </c:pt>
                <c:pt idx="191">
                  <c:v>0.8</c:v>
                </c:pt>
                <c:pt idx="192">
                  <c:v>0.8</c:v>
                </c:pt>
                <c:pt idx="193">
                  <c:v>0.8</c:v>
                </c:pt>
                <c:pt idx="194">
                  <c:v>0.8</c:v>
                </c:pt>
                <c:pt idx="195">
                  <c:v>0.8</c:v>
                </c:pt>
                <c:pt idx="196">
                  <c:v>0.8</c:v>
                </c:pt>
                <c:pt idx="197">
                  <c:v>0.8</c:v>
                </c:pt>
                <c:pt idx="198">
                  <c:v>0.8</c:v>
                </c:pt>
                <c:pt idx="199">
                  <c:v>0.8</c:v>
                </c:pt>
                <c:pt idx="200">
                  <c:v>0.8</c:v>
                </c:pt>
                <c:pt idx="201">
                  <c:v>0.8</c:v>
                </c:pt>
                <c:pt idx="202">
                  <c:v>0.8</c:v>
                </c:pt>
                <c:pt idx="203">
                  <c:v>0.8</c:v>
                </c:pt>
                <c:pt idx="204">
                  <c:v>0.8</c:v>
                </c:pt>
                <c:pt idx="205">
                  <c:v>0.8</c:v>
                </c:pt>
                <c:pt idx="206">
                  <c:v>0.8</c:v>
                </c:pt>
                <c:pt idx="207">
                  <c:v>0.8</c:v>
                </c:pt>
              </c:numCache>
            </c:numRef>
          </c:yVal>
          <c:smooth val="1"/>
        </c:ser>
        <c:ser>
          <c:idx val="9"/>
          <c:order val="9"/>
          <c:tx>
            <c:v>Benchmark (no effect)</c:v>
          </c:tx>
          <c:spPr>
            <a:ln w="15875">
              <a:solidFill>
                <a:srgbClr val="C00000"/>
              </a:solidFill>
            </a:ln>
          </c:spPr>
          <c:marker>
            <c:symbol val="none"/>
          </c:marker>
          <c:xVal>
            <c:numRef>
              <c:f>'Fig6 Data'!$W$4:$W$211</c:f>
              <c:numCache>
                <c:formatCode>General</c:formatCode>
                <c:ptCount val="208"/>
                <c:pt idx="0">
                  <c:v>1521.0</c:v>
                </c:pt>
                <c:pt idx="1">
                  <c:v>1521.0</c:v>
                </c:pt>
                <c:pt idx="2">
                  <c:v>1521.0</c:v>
                </c:pt>
                <c:pt idx="3">
                  <c:v>1521.0</c:v>
                </c:pt>
                <c:pt idx="4">
                  <c:v>1521.0</c:v>
                </c:pt>
                <c:pt idx="5">
                  <c:v>1521.0</c:v>
                </c:pt>
                <c:pt idx="6">
                  <c:v>1521.0</c:v>
                </c:pt>
                <c:pt idx="7">
                  <c:v>1521.0</c:v>
                </c:pt>
                <c:pt idx="8">
                  <c:v>1521.0</c:v>
                </c:pt>
                <c:pt idx="9">
                  <c:v>1521.0</c:v>
                </c:pt>
                <c:pt idx="10">
                  <c:v>1521.0</c:v>
                </c:pt>
                <c:pt idx="11">
                  <c:v>1521.0</c:v>
                </c:pt>
                <c:pt idx="12">
                  <c:v>1521.0</c:v>
                </c:pt>
                <c:pt idx="13">
                  <c:v>1521.0</c:v>
                </c:pt>
                <c:pt idx="14">
                  <c:v>1521.0</c:v>
                </c:pt>
                <c:pt idx="15">
                  <c:v>1521.0</c:v>
                </c:pt>
                <c:pt idx="16">
                  <c:v>1521.0</c:v>
                </c:pt>
                <c:pt idx="17">
                  <c:v>1521.0</c:v>
                </c:pt>
                <c:pt idx="18">
                  <c:v>1521.0</c:v>
                </c:pt>
                <c:pt idx="19">
                  <c:v>1521.0</c:v>
                </c:pt>
                <c:pt idx="20">
                  <c:v>1521.0</c:v>
                </c:pt>
                <c:pt idx="21">
                  <c:v>1521.0</c:v>
                </c:pt>
                <c:pt idx="22">
                  <c:v>1521.0</c:v>
                </c:pt>
                <c:pt idx="23">
                  <c:v>1521.0</c:v>
                </c:pt>
                <c:pt idx="24">
                  <c:v>1521.0</c:v>
                </c:pt>
                <c:pt idx="25">
                  <c:v>1521.0</c:v>
                </c:pt>
                <c:pt idx="26">
                  <c:v>1521.0</c:v>
                </c:pt>
                <c:pt idx="27">
                  <c:v>1521.0</c:v>
                </c:pt>
                <c:pt idx="28">
                  <c:v>1521.0</c:v>
                </c:pt>
                <c:pt idx="29">
                  <c:v>1521.0</c:v>
                </c:pt>
                <c:pt idx="30">
                  <c:v>1521.0</c:v>
                </c:pt>
                <c:pt idx="31">
                  <c:v>1521.0</c:v>
                </c:pt>
                <c:pt idx="32">
                  <c:v>1521.0</c:v>
                </c:pt>
                <c:pt idx="33">
                  <c:v>1521.0</c:v>
                </c:pt>
                <c:pt idx="34">
                  <c:v>1521.0</c:v>
                </c:pt>
                <c:pt idx="35">
                  <c:v>1521.0</c:v>
                </c:pt>
                <c:pt idx="36">
                  <c:v>1521.0</c:v>
                </c:pt>
                <c:pt idx="37">
                  <c:v>1521.0</c:v>
                </c:pt>
                <c:pt idx="38">
                  <c:v>1521.0</c:v>
                </c:pt>
                <c:pt idx="39">
                  <c:v>1521.0</c:v>
                </c:pt>
                <c:pt idx="40">
                  <c:v>1521.0</c:v>
                </c:pt>
                <c:pt idx="41">
                  <c:v>1521.0</c:v>
                </c:pt>
                <c:pt idx="42">
                  <c:v>1521.0</c:v>
                </c:pt>
                <c:pt idx="43">
                  <c:v>1521.0</c:v>
                </c:pt>
                <c:pt idx="44">
                  <c:v>1521.0</c:v>
                </c:pt>
                <c:pt idx="45">
                  <c:v>1521.0</c:v>
                </c:pt>
                <c:pt idx="46">
                  <c:v>1521.0</c:v>
                </c:pt>
                <c:pt idx="47">
                  <c:v>1521.0</c:v>
                </c:pt>
                <c:pt idx="48">
                  <c:v>1521.0</c:v>
                </c:pt>
                <c:pt idx="49">
                  <c:v>1521.0</c:v>
                </c:pt>
                <c:pt idx="50">
                  <c:v>1521.0</c:v>
                </c:pt>
                <c:pt idx="51">
                  <c:v>1521.0</c:v>
                </c:pt>
                <c:pt idx="52">
                  <c:v>1521.0</c:v>
                </c:pt>
                <c:pt idx="53">
                  <c:v>1521.0</c:v>
                </c:pt>
                <c:pt idx="54">
                  <c:v>1521.0</c:v>
                </c:pt>
                <c:pt idx="55">
                  <c:v>1521.0</c:v>
                </c:pt>
                <c:pt idx="56">
                  <c:v>1521.0</c:v>
                </c:pt>
                <c:pt idx="57">
                  <c:v>1521.0</c:v>
                </c:pt>
                <c:pt idx="58">
                  <c:v>1521.0</c:v>
                </c:pt>
                <c:pt idx="59">
                  <c:v>1521.0</c:v>
                </c:pt>
                <c:pt idx="60">
                  <c:v>1521.0</c:v>
                </c:pt>
                <c:pt idx="61">
                  <c:v>1521.0</c:v>
                </c:pt>
                <c:pt idx="62">
                  <c:v>1521.0</c:v>
                </c:pt>
                <c:pt idx="63">
                  <c:v>1521.0</c:v>
                </c:pt>
                <c:pt idx="64">
                  <c:v>1521.0</c:v>
                </c:pt>
                <c:pt idx="65">
                  <c:v>1521.0</c:v>
                </c:pt>
                <c:pt idx="66">
                  <c:v>1521.0</c:v>
                </c:pt>
                <c:pt idx="67">
                  <c:v>1521.0</c:v>
                </c:pt>
                <c:pt idx="68">
                  <c:v>1521.0</c:v>
                </c:pt>
                <c:pt idx="69">
                  <c:v>1521.0</c:v>
                </c:pt>
                <c:pt idx="70">
                  <c:v>1521.0</c:v>
                </c:pt>
                <c:pt idx="71">
                  <c:v>1521.0</c:v>
                </c:pt>
                <c:pt idx="72">
                  <c:v>1521.0</c:v>
                </c:pt>
                <c:pt idx="73">
                  <c:v>1521.0</c:v>
                </c:pt>
                <c:pt idx="74">
                  <c:v>1521.0</c:v>
                </c:pt>
                <c:pt idx="75">
                  <c:v>1521.0</c:v>
                </c:pt>
                <c:pt idx="76">
                  <c:v>1521.0</c:v>
                </c:pt>
                <c:pt idx="77">
                  <c:v>1521.0</c:v>
                </c:pt>
                <c:pt idx="78">
                  <c:v>1521.0</c:v>
                </c:pt>
                <c:pt idx="79">
                  <c:v>1521.0</c:v>
                </c:pt>
                <c:pt idx="80">
                  <c:v>1521.0</c:v>
                </c:pt>
                <c:pt idx="81">
                  <c:v>1521.0</c:v>
                </c:pt>
                <c:pt idx="82">
                  <c:v>1521.0</c:v>
                </c:pt>
                <c:pt idx="83">
                  <c:v>1521.0</c:v>
                </c:pt>
                <c:pt idx="84">
                  <c:v>1521.0</c:v>
                </c:pt>
                <c:pt idx="85">
                  <c:v>1521.0</c:v>
                </c:pt>
                <c:pt idx="86">
                  <c:v>1521.0</c:v>
                </c:pt>
                <c:pt idx="87">
                  <c:v>1521.0</c:v>
                </c:pt>
                <c:pt idx="88">
                  <c:v>1521.0</c:v>
                </c:pt>
                <c:pt idx="89">
                  <c:v>1521.0</c:v>
                </c:pt>
                <c:pt idx="90">
                  <c:v>1521.0</c:v>
                </c:pt>
                <c:pt idx="91">
                  <c:v>1521.0</c:v>
                </c:pt>
                <c:pt idx="92">
                  <c:v>1521.0</c:v>
                </c:pt>
                <c:pt idx="93">
                  <c:v>1521.0</c:v>
                </c:pt>
                <c:pt idx="94">
                  <c:v>1521.0</c:v>
                </c:pt>
                <c:pt idx="95">
                  <c:v>1521.0</c:v>
                </c:pt>
                <c:pt idx="96">
                  <c:v>1521.0</c:v>
                </c:pt>
                <c:pt idx="97">
                  <c:v>1521.0</c:v>
                </c:pt>
                <c:pt idx="98">
                  <c:v>1521.0</c:v>
                </c:pt>
                <c:pt idx="99">
                  <c:v>1521.0</c:v>
                </c:pt>
                <c:pt idx="100">
                  <c:v>1521.0</c:v>
                </c:pt>
                <c:pt idx="101">
                  <c:v>1521.0</c:v>
                </c:pt>
                <c:pt idx="102">
                  <c:v>1521.0</c:v>
                </c:pt>
                <c:pt idx="103">
                  <c:v>1521.0</c:v>
                </c:pt>
                <c:pt idx="104">
                  <c:v>1521.0</c:v>
                </c:pt>
                <c:pt idx="105">
                  <c:v>1521.0</c:v>
                </c:pt>
                <c:pt idx="106">
                  <c:v>1521.0</c:v>
                </c:pt>
                <c:pt idx="107">
                  <c:v>1521.0</c:v>
                </c:pt>
                <c:pt idx="108">
                  <c:v>1521.0</c:v>
                </c:pt>
                <c:pt idx="109">
                  <c:v>1521.0</c:v>
                </c:pt>
                <c:pt idx="110">
                  <c:v>1521.0</c:v>
                </c:pt>
                <c:pt idx="111">
                  <c:v>1521.0</c:v>
                </c:pt>
                <c:pt idx="112">
                  <c:v>1521.0</c:v>
                </c:pt>
                <c:pt idx="113">
                  <c:v>1521.0</c:v>
                </c:pt>
                <c:pt idx="114">
                  <c:v>1521.0</c:v>
                </c:pt>
                <c:pt idx="115">
                  <c:v>1521.0</c:v>
                </c:pt>
                <c:pt idx="116">
                  <c:v>1521.0</c:v>
                </c:pt>
                <c:pt idx="117">
                  <c:v>1521.0</c:v>
                </c:pt>
                <c:pt idx="118">
                  <c:v>1521.0</c:v>
                </c:pt>
                <c:pt idx="119">
                  <c:v>1521.0</c:v>
                </c:pt>
                <c:pt idx="120">
                  <c:v>1521.0</c:v>
                </c:pt>
                <c:pt idx="121">
                  <c:v>1521.0</c:v>
                </c:pt>
                <c:pt idx="122">
                  <c:v>1521.0</c:v>
                </c:pt>
                <c:pt idx="123">
                  <c:v>1521.0</c:v>
                </c:pt>
                <c:pt idx="124">
                  <c:v>1521.0</c:v>
                </c:pt>
                <c:pt idx="125">
                  <c:v>1521.0</c:v>
                </c:pt>
                <c:pt idx="126">
                  <c:v>1521.0</c:v>
                </c:pt>
                <c:pt idx="127">
                  <c:v>1521.0</c:v>
                </c:pt>
                <c:pt idx="128">
                  <c:v>1521.0</c:v>
                </c:pt>
                <c:pt idx="129">
                  <c:v>1521.0</c:v>
                </c:pt>
                <c:pt idx="130">
                  <c:v>1521.0</c:v>
                </c:pt>
                <c:pt idx="131">
                  <c:v>1521.0</c:v>
                </c:pt>
                <c:pt idx="132">
                  <c:v>1521.0</c:v>
                </c:pt>
                <c:pt idx="133">
                  <c:v>1521.0</c:v>
                </c:pt>
                <c:pt idx="134">
                  <c:v>1521.0</c:v>
                </c:pt>
                <c:pt idx="135">
                  <c:v>1521.0</c:v>
                </c:pt>
                <c:pt idx="136">
                  <c:v>1521.0</c:v>
                </c:pt>
                <c:pt idx="137">
                  <c:v>1521.0</c:v>
                </c:pt>
                <c:pt idx="138">
                  <c:v>1521.0</c:v>
                </c:pt>
                <c:pt idx="139">
                  <c:v>1521.0</c:v>
                </c:pt>
                <c:pt idx="140">
                  <c:v>1521.0</c:v>
                </c:pt>
                <c:pt idx="141">
                  <c:v>1521.0</c:v>
                </c:pt>
                <c:pt idx="142">
                  <c:v>1521.0</c:v>
                </c:pt>
                <c:pt idx="143">
                  <c:v>1521.0</c:v>
                </c:pt>
                <c:pt idx="144">
                  <c:v>1521.0</c:v>
                </c:pt>
                <c:pt idx="145">
                  <c:v>1521.0</c:v>
                </c:pt>
                <c:pt idx="146">
                  <c:v>1521.0</c:v>
                </c:pt>
                <c:pt idx="147">
                  <c:v>1521.0</c:v>
                </c:pt>
                <c:pt idx="148">
                  <c:v>1521.0</c:v>
                </c:pt>
                <c:pt idx="149">
                  <c:v>1521.0</c:v>
                </c:pt>
                <c:pt idx="150">
                  <c:v>1521.0</c:v>
                </c:pt>
                <c:pt idx="151">
                  <c:v>1521.0</c:v>
                </c:pt>
                <c:pt idx="152">
                  <c:v>1521.0</c:v>
                </c:pt>
                <c:pt idx="153">
                  <c:v>1521.0</c:v>
                </c:pt>
                <c:pt idx="154">
                  <c:v>1521.0</c:v>
                </c:pt>
                <c:pt idx="155">
                  <c:v>1521.0</c:v>
                </c:pt>
                <c:pt idx="156">
                  <c:v>1521.0</c:v>
                </c:pt>
                <c:pt idx="157">
                  <c:v>1521.0</c:v>
                </c:pt>
                <c:pt idx="158">
                  <c:v>1521.0</c:v>
                </c:pt>
                <c:pt idx="159">
                  <c:v>1521.0</c:v>
                </c:pt>
                <c:pt idx="160">
                  <c:v>1521.0</c:v>
                </c:pt>
                <c:pt idx="161">
                  <c:v>1521.0</c:v>
                </c:pt>
                <c:pt idx="162">
                  <c:v>1521.0</c:v>
                </c:pt>
                <c:pt idx="163">
                  <c:v>1521.0</c:v>
                </c:pt>
                <c:pt idx="164">
                  <c:v>1521.0</c:v>
                </c:pt>
                <c:pt idx="165">
                  <c:v>1521.0</c:v>
                </c:pt>
                <c:pt idx="166">
                  <c:v>1521.0</c:v>
                </c:pt>
                <c:pt idx="167">
                  <c:v>1521.0</c:v>
                </c:pt>
                <c:pt idx="168">
                  <c:v>1521.0</c:v>
                </c:pt>
                <c:pt idx="169">
                  <c:v>1521.0</c:v>
                </c:pt>
                <c:pt idx="170">
                  <c:v>1521.0</c:v>
                </c:pt>
                <c:pt idx="171">
                  <c:v>1521.0</c:v>
                </c:pt>
                <c:pt idx="172">
                  <c:v>1521.0</c:v>
                </c:pt>
                <c:pt idx="173">
                  <c:v>1521.0</c:v>
                </c:pt>
                <c:pt idx="174">
                  <c:v>1521.0</c:v>
                </c:pt>
                <c:pt idx="175">
                  <c:v>1521.0</c:v>
                </c:pt>
                <c:pt idx="176">
                  <c:v>1521.0</c:v>
                </c:pt>
                <c:pt idx="177">
                  <c:v>1521.0</c:v>
                </c:pt>
                <c:pt idx="178">
                  <c:v>1521.0</c:v>
                </c:pt>
                <c:pt idx="179">
                  <c:v>1521.0</c:v>
                </c:pt>
                <c:pt idx="180">
                  <c:v>1521.0</c:v>
                </c:pt>
                <c:pt idx="181">
                  <c:v>1521.0</c:v>
                </c:pt>
                <c:pt idx="182">
                  <c:v>1521.0</c:v>
                </c:pt>
                <c:pt idx="183">
                  <c:v>1521.0</c:v>
                </c:pt>
                <c:pt idx="184">
                  <c:v>1521.0</c:v>
                </c:pt>
                <c:pt idx="185">
                  <c:v>1521.0</c:v>
                </c:pt>
                <c:pt idx="186">
                  <c:v>1521.0</c:v>
                </c:pt>
                <c:pt idx="187">
                  <c:v>1521.0</c:v>
                </c:pt>
                <c:pt idx="188">
                  <c:v>1521.0</c:v>
                </c:pt>
                <c:pt idx="189">
                  <c:v>1521.0</c:v>
                </c:pt>
                <c:pt idx="190">
                  <c:v>1521.0</c:v>
                </c:pt>
                <c:pt idx="191">
                  <c:v>1521.0</c:v>
                </c:pt>
                <c:pt idx="192">
                  <c:v>1521.0</c:v>
                </c:pt>
                <c:pt idx="193">
                  <c:v>1521.0</c:v>
                </c:pt>
                <c:pt idx="194">
                  <c:v>1521.0</c:v>
                </c:pt>
                <c:pt idx="195">
                  <c:v>1521.0</c:v>
                </c:pt>
                <c:pt idx="196">
                  <c:v>1521.0</c:v>
                </c:pt>
                <c:pt idx="197">
                  <c:v>1521.0</c:v>
                </c:pt>
                <c:pt idx="198">
                  <c:v>1521.0</c:v>
                </c:pt>
                <c:pt idx="199">
                  <c:v>1521.0</c:v>
                </c:pt>
                <c:pt idx="200">
                  <c:v>1521.0</c:v>
                </c:pt>
                <c:pt idx="201">
                  <c:v>1521.0</c:v>
                </c:pt>
                <c:pt idx="202">
                  <c:v>1521.0</c:v>
                </c:pt>
                <c:pt idx="203">
                  <c:v>1521.0</c:v>
                </c:pt>
                <c:pt idx="204">
                  <c:v>1521.0</c:v>
                </c:pt>
                <c:pt idx="205">
                  <c:v>1521.0</c:v>
                </c:pt>
                <c:pt idx="206">
                  <c:v>1521.0</c:v>
                </c:pt>
                <c:pt idx="207">
                  <c:v>1521.0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0"/>
          <c:order val="10"/>
          <c:tx>
            <c:v>Benchmark (1 Cent)</c:v>
          </c:tx>
          <c:spPr>
            <a:ln w="15875">
              <a:solidFill>
                <a:srgbClr val="C00000"/>
              </a:solidFill>
              <a:prstDash val="solid"/>
            </a:ln>
          </c:spPr>
          <c:marker>
            <c:symbol val="none"/>
          </c:marker>
          <c:xVal>
            <c:numRef>
              <c:f>'Fig6 Data'!$X$4:$X$211</c:f>
              <c:numCache>
                <c:formatCode>General</c:formatCode>
                <c:ptCount val="208"/>
                <c:pt idx="0">
                  <c:v>2029.0</c:v>
                </c:pt>
                <c:pt idx="1">
                  <c:v>2029.0</c:v>
                </c:pt>
                <c:pt idx="2">
                  <c:v>2029.0</c:v>
                </c:pt>
                <c:pt idx="3">
                  <c:v>2029.0</c:v>
                </c:pt>
                <c:pt idx="4">
                  <c:v>2029.0</c:v>
                </c:pt>
                <c:pt idx="5">
                  <c:v>2029.0</c:v>
                </c:pt>
                <c:pt idx="6">
                  <c:v>2029.0</c:v>
                </c:pt>
                <c:pt idx="7">
                  <c:v>2029.0</c:v>
                </c:pt>
                <c:pt idx="8">
                  <c:v>2029.0</c:v>
                </c:pt>
                <c:pt idx="9">
                  <c:v>2029.0</c:v>
                </c:pt>
                <c:pt idx="10">
                  <c:v>2029.0</c:v>
                </c:pt>
                <c:pt idx="11">
                  <c:v>2029.0</c:v>
                </c:pt>
                <c:pt idx="12">
                  <c:v>2029.0</c:v>
                </c:pt>
                <c:pt idx="13">
                  <c:v>2029.0</c:v>
                </c:pt>
                <c:pt idx="14">
                  <c:v>2029.0</c:v>
                </c:pt>
                <c:pt idx="15">
                  <c:v>2029.0</c:v>
                </c:pt>
                <c:pt idx="16">
                  <c:v>2029.0</c:v>
                </c:pt>
                <c:pt idx="17">
                  <c:v>2029.0</c:v>
                </c:pt>
                <c:pt idx="18">
                  <c:v>2029.0</c:v>
                </c:pt>
                <c:pt idx="19">
                  <c:v>2029.0</c:v>
                </c:pt>
                <c:pt idx="20">
                  <c:v>2029.0</c:v>
                </c:pt>
                <c:pt idx="21">
                  <c:v>2029.0</c:v>
                </c:pt>
                <c:pt idx="22">
                  <c:v>2029.0</c:v>
                </c:pt>
                <c:pt idx="23">
                  <c:v>2029.0</c:v>
                </c:pt>
                <c:pt idx="24">
                  <c:v>2029.0</c:v>
                </c:pt>
                <c:pt idx="25">
                  <c:v>2029.0</c:v>
                </c:pt>
                <c:pt idx="26">
                  <c:v>2029.0</c:v>
                </c:pt>
                <c:pt idx="27">
                  <c:v>2029.0</c:v>
                </c:pt>
                <c:pt idx="28">
                  <c:v>2029.0</c:v>
                </c:pt>
                <c:pt idx="29">
                  <c:v>2029.0</c:v>
                </c:pt>
                <c:pt idx="30">
                  <c:v>2029.0</c:v>
                </c:pt>
                <c:pt idx="31">
                  <c:v>2029.0</c:v>
                </c:pt>
                <c:pt idx="32">
                  <c:v>2029.0</c:v>
                </c:pt>
                <c:pt idx="33">
                  <c:v>2029.0</c:v>
                </c:pt>
                <c:pt idx="34">
                  <c:v>2029.0</c:v>
                </c:pt>
                <c:pt idx="35">
                  <c:v>2029.0</c:v>
                </c:pt>
                <c:pt idx="36">
                  <c:v>2029.0</c:v>
                </c:pt>
                <c:pt idx="37">
                  <c:v>2029.0</c:v>
                </c:pt>
                <c:pt idx="38">
                  <c:v>2029.0</c:v>
                </c:pt>
                <c:pt idx="39">
                  <c:v>2029.0</c:v>
                </c:pt>
                <c:pt idx="40">
                  <c:v>2029.0</c:v>
                </c:pt>
                <c:pt idx="41">
                  <c:v>2029.0</c:v>
                </c:pt>
                <c:pt idx="42">
                  <c:v>2029.0</c:v>
                </c:pt>
                <c:pt idx="43">
                  <c:v>2029.0</c:v>
                </c:pt>
                <c:pt idx="44">
                  <c:v>2029.0</c:v>
                </c:pt>
                <c:pt idx="45">
                  <c:v>2029.0</c:v>
                </c:pt>
                <c:pt idx="46">
                  <c:v>2029.0</c:v>
                </c:pt>
                <c:pt idx="47">
                  <c:v>2029.0</c:v>
                </c:pt>
                <c:pt idx="48">
                  <c:v>2029.0</c:v>
                </c:pt>
                <c:pt idx="49">
                  <c:v>2029.0</c:v>
                </c:pt>
                <c:pt idx="50">
                  <c:v>2029.0</c:v>
                </c:pt>
                <c:pt idx="51">
                  <c:v>2029.0</c:v>
                </c:pt>
                <c:pt idx="52">
                  <c:v>2029.0</c:v>
                </c:pt>
                <c:pt idx="53">
                  <c:v>2029.0</c:v>
                </c:pt>
                <c:pt idx="54">
                  <c:v>2029.0</c:v>
                </c:pt>
                <c:pt idx="55">
                  <c:v>2029.0</c:v>
                </c:pt>
                <c:pt idx="56">
                  <c:v>2029.0</c:v>
                </c:pt>
                <c:pt idx="57">
                  <c:v>2029.0</c:v>
                </c:pt>
                <c:pt idx="58">
                  <c:v>2029.0</c:v>
                </c:pt>
                <c:pt idx="59">
                  <c:v>2029.0</c:v>
                </c:pt>
                <c:pt idx="60">
                  <c:v>2029.0</c:v>
                </c:pt>
                <c:pt idx="61">
                  <c:v>2029.0</c:v>
                </c:pt>
                <c:pt idx="62">
                  <c:v>2029.0</c:v>
                </c:pt>
                <c:pt idx="63">
                  <c:v>2029.0</c:v>
                </c:pt>
                <c:pt idx="64">
                  <c:v>2029.0</c:v>
                </c:pt>
                <c:pt idx="65">
                  <c:v>2029.0</c:v>
                </c:pt>
                <c:pt idx="66">
                  <c:v>2029.0</c:v>
                </c:pt>
                <c:pt idx="67">
                  <c:v>2029.0</c:v>
                </c:pt>
                <c:pt idx="68">
                  <c:v>2029.0</c:v>
                </c:pt>
                <c:pt idx="69">
                  <c:v>2029.0</c:v>
                </c:pt>
                <c:pt idx="70">
                  <c:v>2029.0</c:v>
                </c:pt>
                <c:pt idx="71">
                  <c:v>2029.0</c:v>
                </c:pt>
                <c:pt idx="72">
                  <c:v>2029.0</c:v>
                </c:pt>
                <c:pt idx="73">
                  <c:v>2029.0</c:v>
                </c:pt>
                <c:pt idx="74">
                  <c:v>2029.0</c:v>
                </c:pt>
                <c:pt idx="75">
                  <c:v>2029.0</c:v>
                </c:pt>
                <c:pt idx="76">
                  <c:v>2029.0</c:v>
                </c:pt>
                <c:pt idx="77">
                  <c:v>2029.0</c:v>
                </c:pt>
                <c:pt idx="78">
                  <c:v>2029.0</c:v>
                </c:pt>
                <c:pt idx="79">
                  <c:v>2029.0</c:v>
                </c:pt>
                <c:pt idx="80">
                  <c:v>2029.0</c:v>
                </c:pt>
                <c:pt idx="81">
                  <c:v>2029.0</c:v>
                </c:pt>
                <c:pt idx="82">
                  <c:v>2029.0</c:v>
                </c:pt>
                <c:pt idx="83">
                  <c:v>2029.0</c:v>
                </c:pt>
                <c:pt idx="84">
                  <c:v>2029.0</c:v>
                </c:pt>
                <c:pt idx="85">
                  <c:v>2029.0</c:v>
                </c:pt>
                <c:pt idx="86">
                  <c:v>2029.0</c:v>
                </c:pt>
                <c:pt idx="87">
                  <c:v>2029.0</c:v>
                </c:pt>
                <c:pt idx="88">
                  <c:v>2029.0</c:v>
                </c:pt>
                <c:pt idx="89">
                  <c:v>2029.0</c:v>
                </c:pt>
                <c:pt idx="90">
                  <c:v>2029.0</c:v>
                </c:pt>
                <c:pt idx="91">
                  <c:v>2029.0</c:v>
                </c:pt>
                <c:pt idx="92">
                  <c:v>2029.0</c:v>
                </c:pt>
                <c:pt idx="93">
                  <c:v>2029.0</c:v>
                </c:pt>
                <c:pt idx="94">
                  <c:v>2029.0</c:v>
                </c:pt>
                <c:pt idx="95">
                  <c:v>2029.0</c:v>
                </c:pt>
                <c:pt idx="96">
                  <c:v>2029.0</c:v>
                </c:pt>
                <c:pt idx="97">
                  <c:v>2029.0</c:v>
                </c:pt>
                <c:pt idx="98">
                  <c:v>2029.0</c:v>
                </c:pt>
                <c:pt idx="99">
                  <c:v>2029.0</c:v>
                </c:pt>
                <c:pt idx="100">
                  <c:v>2029.0</c:v>
                </c:pt>
                <c:pt idx="101">
                  <c:v>2029.0</c:v>
                </c:pt>
                <c:pt idx="102">
                  <c:v>2029.0</c:v>
                </c:pt>
                <c:pt idx="103">
                  <c:v>2029.0</c:v>
                </c:pt>
                <c:pt idx="104">
                  <c:v>2029.0</c:v>
                </c:pt>
                <c:pt idx="105">
                  <c:v>2029.0</c:v>
                </c:pt>
                <c:pt idx="106">
                  <c:v>2029.0</c:v>
                </c:pt>
                <c:pt idx="107">
                  <c:v>2029.0</c:v>
                </c:pt>
                <c:pt idx="108">
                  <c:v>2029.0</c:v>
                </c:pt>
                <c:pt idx="109">
                  <c:v>2029.0</c:v>
                </c:pt>
                <c:pt idx="110">
                  <c:v>2029.0</c:v>
                </c:pt>
                <c:pt idx="111">
                  <c:v>2029.0</c:v>
                </c:pt>
                <c:pt idx="112">
                  <c:v>2029.0</c:v>
                </c:pt>
                <c:pt idx="113">
                  <c:v>2029.0</c:v>
                </c:pt>
                <c:pt idx="114">
                  <c:v>2029.0</c:v>
                </c:pt>
                <c:pt idx="115">
                  <c:v>2029.0</c:v>
                </c:pt>
                <c:pt idx="116">
                  <c:v>2029.0</c:v>
                </c:pt>
                <c:pt idx="117">
                  <c:v>2029.0</c:v>
                </c:pt>
                <c:pt idx="118">
                  <c:v>2029.0</c:v>
                </c:pt>
                <c:pt idx="119">
                  <c:v>2029.0</c:v>
                </c:pt>
                <c:pt idx="120">
                  <c:v>2029.0</c:v>
                </c:pt>
                <c:pt idx="121">
                  <c:v>2029.0</c:v>
                </c:pt>
                <c:pt idx="122">
                  <c:v>2029.0</c:v>
                </c:pt>
                <c:pt idx="123">
                  <c:v>2029.0</c:v>
                </c:pt>
                <c:pt idx="124">
                  <c:v>2029.0</c:v>
                </c:pt>
                <c:pt idx="125">
                  <c:v>2029.0</c:v>
                </c:pt>
                <c:pt idx="126">
                  <c:v>2029.0</c:v>
                </c:pt>
                <c:pt idx="127">
                  <c:v>2029.0</c:v>
                </c:pt>
                <c:pt idx="128">
                  <c:v>2029.0</c:v>
                </c:pt>
                <c:pt idx="129">
                  <c:v>2029.0</c:v>
                </c:pt>
                <c:pt idx="130">
                  <c:v>2029.0</c:v>
                </c:pt>
                <c:pt idx="131">
                  <c:v>2029.0</c:v>
                </c:pt>
                <c:pt idx="132">
                  <c:v>2029.0</c:v>
                </c:pt>
                <c:pt idx="133">
                  <c:v>2029.0</c:v>
                </c:pt>
                <c:pt idx="134">
                  <c:v>2029.0</c:v>
                </c:pt>
                <c:pt idx="135">
                  <c:v>2029.0</c:v>
                </c:pt>
                <c:pt idx="136">
                  <c:v>2029.0</c:v>
                </c:pt>
                <c:pt idx="137">
                  <c:v>2029.0</c:v>
                </c:pt>
                <c:pt idx="138">
                  <c:v>2029.0</c:v>
                </c:pt>
                <c:pt idx="139">
                  <c:v>2029.0</c:v>
                </c:pt>
                <c:pt idx="140">
                  <c:v>2029.0</c:v>
                </c:pt>
                <c:pt idx="141">
                  <c:v>2029.0</c:v>
                </c:pt>
                <c:pt idx="142">
                  <c:v>2029.0</c:v>
                </c:pt>
                <c:pt idx="143">
                  <c:v>2029.0</c:v>
                </c:pt>
                <c:pt idx="144">
                  <c:v>2029.0</c:v>
                </c:pt>
                <c:pt idx="145">
                  <c:v>2029.0</c:v>
                </c:pt>
                <c:pt idx="146">
                  <c:v>2029.0</c:v>
                </c:pt>
                <c:pt idx="147">
                  <c:v>2029.0</c:v>
                </c:pt>
                <c:pt idx="148">
                  <c:v>2029.0</c:v>
                </c:pt>
                <c:pt idx="149">
                  <c:v>2029.0</c:v>
                </c:pt>
                <c:pt idx="150">
                  <c:v>2029.0</c:v>
                </c:pt>
                <c:pt idx="151">
                  <c:v>2029.0</c:v>
                </c:pt>
                <c:pt idx="152">
                  <c:v>2029.0</c:v>
                </c:pt>
                <c:pt idx="153">
                  <c:v>2029.0</c:v>
                </c:pt>
                <c:pt idx="154">
                  <c:v>2029.0</c:v>
                </c:pt>
                <c:pt idx="155">
                  <c:v>2029.0</c:v>
                </c:pt>
                <c:pt idx="156">
                  <c:v>2029.0</c:v>
                </c:pt>
                <c:pt idx="157">
                  <c:v>2029.0</c:v>
                </c:pt>
                <c:pt idx="158">
                  <c:v>2029.0</c:v>
                </c:pt>
                <c:pt idx="159">
                  <c:v>2029.0</c:v>
                </c:pt>
                <c:pt idx="160">
                  <c:v>2029.0</c:v>
                </c:pt>
                <c:pt idx="161">
                  <c:v>2029.0</c:v>
                </c:pt>
                <c:pt idx="162">
                  <c:v>2029.0</c:v>
                </c:pt>
                <c:pt idx="163">
                  <c:v>2029.0</c:v>
                </c:pt>
                <c:pt idx="164">
                  <c:v>2029.0</c:v>
                </c:pt>
                <c:pt idx="165">
                  <c:v>2029.0</c:v>
                </c:pt>
                <c:pt idx="166">
                  <c:v>2029.0</c:v>
                </c:pt>
                <c:pt idx="167">
                  <c:v>2029.0</c:v>
                </c:pt>
                <c:pt idx="168">
                  <c:v>2029.0</c:v>
                </c:pt>
                <c:pt idx="169">
                  <c:v>2029.0</c:v>
                </c:pt>
                <c:pt idx="170">
                  <c:v>2029.0</c:v>
                </c:pt>
                <c:pt idx="171">
                  <c:v>2029.0</c:v>
                </c:pt>
                <c:pt idx="172">
                  <c:v>2029.0</c:v>
                </c:pt>
                <c:pt idx="173">
                  <c:v>2029.0</c:v>
                </c:pt>
                <c:pt idx="174">
                  <c:v>2029.0</c:v>
                </c:pt>
                <c:pt idx="175">
                  <c:v>2029.0</c:v>
                </c:pt>
                <c:pt idx="176">
                  <c:v>2029.0</c:v>
                </c:pt>
                <c:pt idx="177">
                  <c:v>2029.0</c:v>
                </c:pt>
                <c:pt idx="178">
                  <c:v>2029.0</c:v>
                </c:pt>
                <c:pt idx="179">
                  <c:v>2029.0</c:v>
                </c:pt>
                <c:pt idx="180">
                  <c:v>2029.0</c:v>
                </c:pt>
                <c:pt idx="181">
                  <c:v>2029.0</c:v>
                </c:pt>
                <c:pt idx="182">
                  <c:v>2029.0</c:v>
                </c:pt>
                <c:pt idx="183">
                  <c:v>2029.0</c:v>
                </c:pt>
                <c:pt idx="184">
                  <c:v>2029.0</c:v>
                </c:pt>
                <c:pt idx="185">
                  <c:v>2029.0</c:v>
                </c:pt>
                <c:pt idx="186">
                  <c:v>2029.0</c:v>
                </c:pt>
                <c:pt idx="187">
                  <c:v>2029.0</c:v>
                </c:pt>
                <c:pt idx="188">
                  <c:v>2029.0</c:v>
                </c:pt>
                <c:pt idx="189">
                  <c:v>2029.0</c:v>
                </c:pt>
                <c:pt idx="190">
                  <c:v>2029.0</c:v>
                </c:pt>
                <c:pt idx="191">
                  <c:v>2029.0</c:v>
                </c:pt>
                <c:pt idx="192">
                  <c:v>2029.0</c:v>
                </c:pt>
                <c:pt idx="193">
                  <c:v>2029.0</c:v>
                </c:pt>
                <c:pt idx="194">
                  <c:v>2029.0</c:v>
                </c:pt>
                <c:pt idx="195">
                  <c:v>2029.0</c:v>
                </c:pt>
                <c:pt idx="196">
                  <c:v>2029.0</c:v>
                </c:pt>
                <c:pt idx="197">
                  <c:v>2029.0</c:v>
                </c:pt>
                <c:pt idx="198">
                  <c:v>2029.0</c:v>
                </c:pt>
                <c:pt idx="199">
                  <c:v>2029.0</c:v>
                </c:pt>
                <c:pt idx="200">
                  <c:v>2029.0</c:v>
                </c:pt>
                <c:pt idx="201">
                  <c:v>2029.0</c:v>
                </c:pt>
                <c:pt idx="202">
                  <c:v>2029.0</c:v>
                </c:pt>
                <c:pt idx="203">
                  <c:v>2029.0</c:v>
                </c:pt>
                <c:pt idx="204">
                  <c:v>2029.0</c:v>
                </c:pt>
                <c:pt idx="205">
                  <c:v>2029.0</c:v>
                </c:pt>
                <c:pt idx="206">
                  <c:v>2029.0</c:v>
                </c:pt>
                <c:pt idx="207">
                  <c:v>2029.0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1"/>
          <c:order val="11"/>
          <c:tx>
            <c:v>Benchmark (4 Cents)</c:v>
          </c:tx>
          <c:spPr>
            <a:ln w="15875">
              <a:solidFill>
                <a:srgbClr val="C00000"/>
              </a:solidFill>
            </a:ln>
          </c:spPr>
          <c:marker>
            <c:symbol val="none"/>
          </c:marker>
          <c:xVal>
            <c:numRef>
              <c:f>'Fig6 Data'!$Y$4:$Y$211</c:f>
              <c:numCache>
                <c:formatCode>General</c:formatCode>
                <c:ptCount val="208"/>
                <c:pt idx="0">
                  <c:v>2175.0</c:v>
                </c:pt>
                <c:pt idx="1">
                  <c:v>2175.0</c:v>
                </c:pt>
                <c:pt idx="2">
                  <c:v>2175.0</c:v>
                </c:pt>
                <c:pt idx="3">
                  <c:v>2175.0</c:v>
                </c:pt>
                <c:pt idx="4">
                  <c:v>2175.0</c:v>
                </c:pt>
                <c:pt idx="5">
                  <c:v>2175.0</c:v>
                </c:pt>
                <c:pt idx="6">
                  <c:v>2175.0</c:v>
                </c:pt>
                <c:pt idx="7">
                  <c:v>2175.0</c:v>
                </c:pt>
                <c:pt idx="8">
                  <c:v>2175.0</c:v>
                </c:pt>
                <c:pt idx="9">
                  <c:v>2175.0</c:v>
                </c:pt>
                <c:pt idx="10">
                  <c:v>2175.0</c:v>
                </c:pt>
                <c:pt idx="11">
                  <c:v>2175.0</c:v>
                </c:pt>
                <c:pt idx="12">
                  <c:v>2175.0</c:v>
                </c:pt>
                <c:pt idx="13">
                  <c:v>2175.0</c:v>
                </c:pt>
                <c:pt idx="14">
                  <c:v>2175.0</c:v>
                </c:pt>
                <c:pt idx="15">
                  <c:v>2175.0</c:v>
                </c:pt>
                <c:pt idx="16">
                  <c:v>2175.0</c:v>
                </c:pt>
                <c:pt idx="17">
                  <c:v>2175.0</c:v>
                </c:pt>
                <c:pt idx="18">
                  <c:v>2175.0</c:v>
                </c:pt>
                <c:pt idx="19">
                  <c:v>2175.0</c:v>
                </c:pt>
                <c:pt idx="20">
                  <c:v>2175.0</c:v>
                </c:pt>
                <c:pt idx="21">
                  <c:v>2175.0</c:v>
                </c:pt>
                <c:pt idx="22">
                  <c:v>2175.0</c:v>
                </c:pt>
                <c:pt idx="23">
                  <c:v>2175.0</c:v>
                </c:pt>
                <c:pt idx="24">
                  <c:v>2175.0</c:v>
                </c:pt>
                <c:pt idx="25">
                  <c:v>2175.0</c:v>
                </c:pt>
                <c:pt idx="26">
                  <c:v>2175.0</c:v>
                </c:pt>
                <c:pt idx="27">
                  <c:v>2175.0</c:v>
                </c:pt>
                <c:pt idx="28">
                  <c:v>2175.0</c:v>
                </c:pt>
                <c:pt idx="29">
                  <c:v>2175.0</c:v>
                </c:pt>
                <c:pt idx="30">
                  <c:v>2175.0</c:v>
                </c:pt>
                <c:pt idx="31">
                  <c:v>2175.0</c:v>
                </c:pt>
                <c:pt idx="32">
                  <c:v>2175.0</c:v>
                </c:pt>
                <c:pt idx="33">
                  <c:v>2175.0</c:v>
                </c:pt>
                <c:pt idx="34">
                  <c:v>2175.0</c:v>
                </c:pt>
                <c:pt idx="35">
                  <c:v>2175.0</c:v>
                </c:pt>
                <c:pt idx="36">
                  <c:v>2175.0</c:v>
                </c:pt>
                <c:pt idx="37">
                  <c:v>2175.0</c:v>
                </c:pt>
                <c:pt idx="38">
                  <c:v>2175.0</c:v>
                </c:pt>
                <c:pt idx="39">
                  <c:v>2175.0</c:v>
                </c:pt>
                <c:pt idx="40">
                  <c:v>2175.0</c:v>
                </c:pt>
                <c:pt idx="41">
                  <c:v>2175.0</c:v>
                </c:pt>
                <c:pt idx="42">
                  <c:v>2175.0</c:v>
                </c:pt>
                <c:pt idx="43">
                  <c:v>2175.0</c:v>
                </c:pt>
                <c:pt idx="44">
                  <c:v>2175.0</c:v>
                </c:pt>
                <c:pt idx="45">
                  <c:v>2175.0</c:v>
                </c:pt>
                <c:pt idx="46">
                  <c:v>2175.0</c:v>
                </c:pt>
                <c:pt idx="47">
                  <c:v>2175.0</c:v>
                </c:pt>
                <c:pt idx="48">
                  <c:v>2175.0</c:v>
                </c:pt>
                <c:pt idx="49">
                  <c:v>2175.0</c:v>
                </c:pt>
                <c:pt idx="50">
                  <c:v>2175.0</c:v>
                </c:pt>
                <c:pt idx="51">
                  <c:v>2175.0</c:v>
                </c:pt>
                <c:pt idx="52">
                  <c:v>2175.0</c:v>
                </c:pt>
                <c:pt idx="53">
                  <c:v>2175.0</c:v>
                </c:pt>
                <c:pt idx="54">
                  <c:v>2175.0</c:v>
                </c:pt>
                <c:pt idx="55">
                  <c:v>2175.0</c:v>
                </c:pt>
                <c:pt idx="56">
                  <c:v>2175.0</c:v>
                </c:pt>
                <c:pt idx="57">
                  <c:v>2175.0</c:v>
                </c:pt>
                <c:pt idx="58">
                  <c:v>2175.0</c:v>
                </c:pt>
                <c:pt idx="59">
                  <c:v>2175.0</c:v>
                </c:pt>
                <c:pt idx="60">
                  <c:v>2175.0</c:v>
                </c:pt>
                <c:pt idx="61">
                  <c:v>2175.0</c:v>
                </c:pt>
                <c:pt idx="62">
                  <c:v>2175.0</c:v>
                </c:pt>
                <c:pt idx="63">
                  <c:v>2175.0</c:v>
                </c:pt>
                <c:pt idx="64">
                  <c:v>2175.0</c:v>
                </c:pt>
                <c:pt idx="65">
                  <c:v>2175.0</c:v>
                </c:pt>
                <c:pt idx="66">
                  <c:v>2175.0</c:v>
                </c:pt>
                <c:pt idx="67">
                  <c:v>2175.0</c:v>
                </c:pt>
                <c:pt idx="68">
                  <c:v>2175.0</c:v>
                </c:pt>
                <c:pt idx="69">
                  <c:v>2175.0</c:v>
                </c:pt>
                <c:pt idx="70">
                  <c:v>2175.0</c:v>
                </c:pt>
                <c:pt idx="71">
                  <c:v>2175.0</c:v>
                </c:pt>
                <c:pt idx="72">
                  <c:v>2175.0</c:v>
                </c:pt>
                <c:pt idx="73">
                  <c:v>2175.0</c:v>
                </c:pt>
                <c:pt idx="74">
                  <c:v>2175.0</c:v>
                </c:pt>
                <c:pt idx="75">
                  <c:v>2175.0</c:v>
                </c:pt>
                <c:pt idx="76">
                  <c:v>2175.0</c:v>
                </c:pt>
                <c:pt idx="77">
                  <c:v>2175.0</c:v>
                </c:pt>
                <c:pt idx="78">
                  <c:v>2175.0</c:v>
                </c:pt>
                <c:pt idx="79">
                  <c:v>2175.0</c:v>
                </c:pt>
                <c:pt idx="80">
                  <c:v>2175.0</c:v>
                </c:pt>
                <c:pt idx="81">
                  <c:v>2175.0</c:v>
                </c:pt>
                <c:pt idx="82">
                  <c:v>2175.0</c:v>
                </c:pt>
                <c:pt idx="83">
                  <c:v>2175.0</c:v>
                </c:pt>
                <c:pt idx="84">
                  <c:v>2175.0</c:v>
                </c:pt>
                <c:pt idx="85">
                  <c:v>2175.0</c:v>
                </c:pt>
                <c:pt idx="86">
                  <c:v>2175.0</c:v>
                </c:pt>
                <c:pt idx="87">
                  <c:v>2175.0</c:v>
                </c:pt>
                <c:pt idx="88">
                  <c:v>2175.0</c:v>
                </c:pt>
                <c:pt idx="89">
                  <c:v>2175.0</c:v>
                </c:pt>
                <c:pt idx="90">
                  <c:v>2175.0</c:v>
                </c:pt>
                <c:pt idx="91">
                  <c:v>2175.0</c:v>
                </c:pt>
                <c:pt idx="92">
                  <c:v>2175.0</c:v>
                </c:pt>
                <c:pt idx="93">
                  <c:v>2175.0</c:v>
                </c:pt>
                <c:pt idx="94">
                  <c:v>2175.0</c:v>
                </c:pt>
                <c:pt idx="95">
                  <c:v>2175.0</c:v>
                </c:pt>
                <c:pt idx="96">
                  <c:v>2175.0</c:v>
                </c:pt>
                <c:pt idx="97">
                  <c:v>2175.0</c:v>
                </c:pt>
                <c:pt idx="98">
                  <c:v>2175.0</c:v>
                </c:pt>
                <c:pt idx="99">
                  <c:v>2175.0</c:v>
                </c:pt>
                <c:pt idx="100">
                  <c:v>2175.0</c:v>
                </c:pt>
                <c:pt idx="101">
                  <c:v>2175.0</c:v>
                </c:pt>
                <c:pt idx="102">
                  <c:v>2175.0</c:v>
                </c:pt>
                <c:pt idx="103">
                  <c:v>2175.0</c:v>
                </c:pt>
                <c:pt idx="104">
                  <c:v>2175.0</c:v>
                </c:pt>
                <c:pt idx="105">
                  <c:v>2175.0</c:v>
                </c:pt>
                <c:pt idx="106">
                  <c:v>2175.0</c:v>
                </c:pt>
                <c:pt idx="107">
                  <c:v>2175.0</c:v>
                </c:pt>
                <c:pt idx="108">
                  <c:v>2175.0</c:v>
                </c:pt>
                <c:pt idx="109">
                  <c:v>2175.0</c:v>
                </c:pt>
                <c:pt idx="110">
                  <c:v>2175.0</c:v>
                </c:pt>
                <c:pt idx="111">
                  <c:v>2175.0</c:v>
                </c:pt>
                <c:pt idx="112">
                  <c:v>2175.0</c:v>
                </c:pt>
                <c:pt idx="113">
                  <c:v>2175.0</c:v>
                </c:pt>
                <c:pt idx="114">
                  <c:v>2175.0</c:v>
                </c:pt>
                <c:pt idx="115">
                  <c:v>2175.0</c:v>
                </c:pt>
                <c:pt idx="116">
                  <c:v>2175.0</c:v>
                </c:pt>
                <c:pt idx="117">
                  <c:v>2175.0</c:v>
                </c:pt>
                <c:pt idx="118">
                  <c:v>2175.0</c:v>
                </c:pt>
                <c:pt idx="119">
                  <c:v>2175.0</c:v>
                </c:pt>
                <c:pt idx="120">
                  <c:v>2175.0</c:v>
                </c:pt>
                <c:pt idx="121">
                  <c:v>2175.0</c:v>
                </c:pt>
                <c:pt idx="122">
                  <c:v>2175.0</c:v>
                </c:pt>
                <c:pt idx="123">
                  <c:v>2175.0</c:v>
                </c:pt>
                <c:pt idx="124">
                  <c:v>2175.0</c:v>
                </c:pt>
                <c:pt idx="125">
                  <c:v>2175.0</c:v>
                </c:pt>
                <c:pt idx="126">
                  <c:v>2175.0</c:v>
                </c:pt>
                <c:pt idx="127">
                  <c:v>2175.0</c:v>
                </c:pt>
                <c:pt idx="128">
                  <c:v>2175.0</c:v>
                </c:pt>
                <c:pt idx="129">
                  <c:v>2175.0</c:v>
                </c:pt>
                <c:pt idx="130">
                  <c:v>2175.0</c:v>
                </c:pt>
                <c:pt idx="131">
                  <c:v>2175.0</c:v>
                </c:pt>
                <c:pt idx="132">
                  <c:v>2175.0</c:v>
                </c:pt>
                <c:pt idx="133">
                  <c:v>2175.0</c:v>
                </c:pt>
                <c:pt idx="134">
                  <c:v>2175.0</c:v>
                </c:pt>
                <c:pt idx="135">
                  <c:v>2175.0</c:v>
                </c:pt>
                <c:pt idx="136">
                  <c:v>2175.0</c:v>
                </c:pt>
                <c:pt idx="137">
                  <c:v>2175.0</c:v>
                </c:pt>
                <c:pt idx="138">
                  <c:v>2175.0</c:v>
                </c:pt>
                <c:pt idx="139">
                  <c:v>2175.0</c:v>
                </c:pt>
                <c:pt idx="140">
                  <c:v>2175.0</c:v>
                </c:pt>
                <c:pt idx="141">
                  <c:v>2175.0</c:v>
                </c:pt>
                <c:pt idx="142">
                  <c:v>2175.0</c:v>
                </c:pt>
                <c:pt idx="143">
                  <c:v>2175.0</c:v>
                </c:pt>
                <c:pt idx="144">
                  <c:v>2175.0</c:v>
                </c:pt>
                <c:pt idx="145">
                  <c:v>2175.0</c:v>
                </c:pt>
                <c:pt idx="146">
                  <c:v>2175.0</c:v>
                </c:pt>
                <c:pt idx="147">
                  <c:v>2175.0</c:v>
                </c:pt>
                <c:pt idx="148">
                  <c:v>2175.0</c:v>
                </c:pt>
                <c:pt idx="149">
                  <c:v>2175.0</c:v>
                </c:pt>
                <c:pt idx="150">
                  <c:v>2175.0</c:v>
                </c:pt>
                <c:pt idx="151">
                  <c:v>2175.0</c:v>
                </c:pt>
                <c:pt idx="152">
                  <c:v>2175.0</c:v>
                </c:pt>
                <c:pt idx="153">
                  <c:v>2175.0</c:v>
                </c:pt>
                <c:pt idx="154">
                  <c:v>2175.0</c:v>
                </c:pt>
                <c:pt idx="155">
                  <c:v>2175.0</c:v>
                </c:pt>
                <c:pt idx="156">
                  <c:v>2175.0</c:v>
                </c:pt>
                <c:pt idx="157">
                  <c:v>2175.0</c:v>
                </c:pt>
                <c:pt idx="158">
                  <c:v>2175.0</c:v>
                </c:pt>
                <c:pt idx="159">
                  <c:v>2175.0</c:v>
                </c:pt>
                <c:pt idx="160">
                  <c:v>2175.0</c:v>
                </c:pt>
                <c:pt idx="161">
                  <c:v>2175.0</c:v>
                </c:pt>
                <c:pt idx="162">
                  <c:v>2175.0</c:v>
                </c:pt>
                <c:pt idx="163">
                  <c:v>2175.0</c:v>
                </c:pt>
                <c:pt idx="164">
                  <c:v>2175.0</c:v>
                </c:pt>
                <c:pt idx="165">
                  <c:v>2175.0</c:v>
                </c:pt>
                <c:pt idx="166">
                  <c:v>2175.0</c:v>
                </c:pt>
                <c:pt idx="167">
                  <c:v>2175.0</c:v>
                </c:pt>
                <c:pt idx="168">
                  <c:v>2175.0</c:v>
                </c:pt>
                <c:pt idx="169">
                  <c:v>2175.0</c:v>
                </c:pt>
                <c:pt idx="170">
                  <c:v>2175.0</c:v>
                </c:pt>
                <c:pt idx="171">
                  <c:v>2175.0</c:v>
                </c:pt>
                <c:pt idx="172">
                  <c:v>2175.0</c:v>
                </c:pt>
                <c:pt idx="173">
                  <c:v>2175.0</c:v>
                </c:pt>
                <c:pt idx="174">
                  <c:v>2175.0</c:v>
                </c:pt>
                <c:pt idx="175">
                  <c:v>2175.0</c:v>
                </c:pt>
                <c:pt idx="176">
                  <c:v>2175.0</c:v>
                </c:pt>
                <c:pt idx="177">
                  <c:v>2175.0</c:v>
                </c:pt>
                <c:pt idx="178">
                  <c:v>2175.0</c:v>
                </c:pt>
                <c:pt idx="179">
                  <c:v>2175.0</c:v>
                </c:pt>
                <c:pt idx="180">
                  <c:v>2175.0</c:v>
                </c:pt>
                <c:pt idx="181">
                  <c:v>2175.0</c:v>
                </c:pt>
                <c:pt idx="182">
                  <c:v>2175.0</c:v>
                </c:pt>
                <c:pt idx="183">
                  <c:v>2175.0</c:v>
                </c:pt>
                <c:pt idx="184">
                  <c:v>2175.0</c:v>
                </c:pt>
                <c:pt idx="185">
                  <c:v>2175.0</c:v>
                </c:pt>
                <c:pt idx="186">
                  <c:v>2175.0</c:v>
                </c:pt>
                <c:pt idx="187">
                  <c:v>2175.0</c:v>
                </c:pt>
                <c:pt idx="188">
                  <c:v>2175.0</c:v>
                </c:pt>
                <c:pt idx="189">
                  <c:v>2175.0</c:v>
                </c:pt>
                <c:pt idx="190">
                  <c:v>2175.0</c:v>
                </c:pt>
                <c:pt idx="191">
                  <c:v>2175.0</c:v>
                </c:pt>
                <c:pt idx="192">
                  <c:v>2175.0</c:v>
                </c:pt>
                <c:pt idx="193">
                  <c:v>2175.0</c:v>
                </c:pt>
                <c:pt idx="194">
                  <c:v>2175.0</c:v>
                </c:pt>
                <c:pt idx="195">
                  <c:v>2175.0</c:v>
                </c:pt>
                <c:pt idx="196">
                  <c:v>2175.0</c:v>
                </c:pt>
                <c:pt idx="197">
                  <c:v>2175.0</c:v>
                </c:pt>
                <c:pt idx="198">
                  <c:v>2175.0</c:v>
                </c:pt>
                <c:pt idx="199">
                  <c:v>2175.0</c:v>
                </c:pt>
                <c:pt idx="200">
                  <c:v>2175.0</c:v>
                </c:pt>
                <c:pt idx="201">
                  <c:v>2175.0</c:v>
                </c:pt>
                <c:pt idx="202">
                  <c:v>2175.0</c:v>
                </c:pt>
                <c:pt idx="203">
                  <c:v>2175.0</c:v>
                </c:pt>
                <c:pt idx="204">
                  <c:v>2175.0</c:v>
                </c:pt>
                <c:pt idx="205">
                  <c:v>2175.0</c:v>
                </c:pt>
                <c:pt idx="206">
                  <c:v>2175.0</c:v>
                </c:pt>
                <c:pt idx="207">
                  <c:v>2175.0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dLbls>
          <c:showLegendKey val="0"/>
          <c:showVal val="0"/>
          <c:showCatName val="0"/>
          <c:showSerName val="0"/>
          <c:showPercent val="0"/>
          <c:showBubbleSize val="0"/>
        </c:dLbls>
        <c:axId val="-1170891328"/>
        <c:axId val="-1113083488"/>
      </c:scatterChart>
      <c:valAx>
        <c:axId val="-1170891328"/>
        <c:scaling>
          <c:orientation val="minMax"/>
          <c:max val="2500.0"/>
          <c:min val="1000.0"/>
        </c:scaling>
        <c:delete val="0"/>
        <c:axPos val="b"/>
        <c:title>
          <c:tx>
            <c:rich>
              <a:bodyPr/>
              <a:lstStyle/>
              <a:p>
                <a:pPr>
                  <a:defRPr/>
                </a:pPr>
                <a:r>
                  <a:rPr lang="de-DE" b="0"/>
                  <a:t>Expert</a:t>
                </a:r>
                <a:r>
                  <a:rPr lang="de-DE" b="0" baseline="0"/>
                  <a:t> Forecasts</a:t>
                </a:r>
                <a:endParaRPr lang="de-DE" b="0"/>
              </a:p>
            </c:rich>
          </c:tx>
          <c:overlay val="0"/>
        </c:title>
        <c:numFmt formatCode="General" sourceLinked="1"/>
        <c:majorTickMark val="none"/>
        <c:minorTickMark val="none"/>
        <c:tickLblPos val="nextTo"/>
        <c:crossAx val="-1113083488"/>
        <c:crosses val="autoZero"/>
        <c:crossBetween val="midCat"/>
      </c:valAx>
      <c:valAx>
        <c:axId val="-1113083488"/>
        <c:scaling>
          <c:orientation val="minMax"/>
          <c:max val="1.0"/>
        </c:scaling>
        <c:delete val="0"/>
        <c:axPos val="l"/>
        <c:majorGridlines>
          <c:spPr>
            <a:ln>
              <a:solidFill>
                <a:schemeClr val="bg1"/>
              </a:solidFill>
            </a:ln>
          </c:spPr>
        </c:majorGridlines>
        <c:title>
          <c:tx>
            <c:rich>
              <a:bodyPr/>
              <a:lstStyle/>
              <a:p>
                <a:pPr>
                  <a:defRPr/>
                </a:pPr>
                <a:r>
                  <a:rPr lang="de-DE" b="0"/>
                  <a:t>Cumulative</a:t>
                </a:r>
                <a:r>
                  <a:rPr lang="de-DE" b="0" baseline="0"/>
                  <a:t> Fraction</a:t>
                </a:r>
                <a:endParaRPr lang="de-DE" b="0"/>
              </a:p>
            </c:rich>
          </c:tx>
          <c:overlay val="0"/>
        </c:title>
        <c:numFmt formatCode="General" sourceLinked="1"/>
        <c:majorTickMark val="none"/>
        <c:minorTickMark val="none"/>
        <c:tickLblPos val="nextTo"/>
        <c:crossAx val="-1170891328"/>
        <c:crosses val="autoZero"/>
        <c:crossBetween val="midCat"/>
      </c:valAx>
      <c:spPr>
        <a:noFill/>
        <a:ln>
          <a:solidFill>
            <a:schemeClr val="tx1"/>
          </a:solidFill>
        </a:ln>
      </c:spPr>
    </c:plotArea>
    <c:legend>
      <c:legendPos val="l"/>
      <c:legendEntry>
        <c:idx val="0"/>
        <c:delete val="1"/>
      </c:legendEntry>
      <c:legendEntry>
        <c:idx val="1"/>
        <c:delete val="1"/>
      </c:legendEntry>
      <c:legendEntry>
        <c:idx val="2"/>
        <c:delete val="1"/>
      </c:legendEntry>
      <c:legendEntry>
        <c:idx val="3"/>
        <c:delete val="1"/>
      </c:legendEntry>
      <c:legendEntry>
        <c:idx val="4"/>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ayout>
        <c:manualLayout>
          <c:xMode val="edge"/>
          <c:yMode val="edge"/>
          <c:x val="0.0864979017904783"/>
          <c:y val="0.0419050953559872"/>
          <c:w val="0.223527883279073"/>
          <c:h val="0.0973840121836624"/>
        </c:manualLayout>
      </c:layout>
      <c:overlay val="1"/>
    </c:legend>
    <c:plotVisOnly val="1"/>
    <c:dispBlanksAs val="gap"/>
    <c:showDLblsOverMax val="0"/>
  </c:chart>
  <c:printSettings>
    <c:headerFooter/>
    <c:pageMargins b="0.787401575" l="0.700000000000001" r="0.700000000000001" t="0.787401575"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smoothMarker"/>
        <c:varyColors val="0"/>
        <c:ser>
          <c:idx val="0"/>
          <c:order val="0"/>
          <c:tx>
            <c:v>Social Competition</c:v>
          </c:tx>
          <c:spPr>
            <a:ln w="22225"/>
          </c:spPr>
          <c:marker>
            <c:symbol val="none"/>
          </c:marker>
          <c:xVal>
            <c:numRef>
              <c:f>'Fig6 Data'!$R$4:$R$211</c:f>
              <c:numCache>
                <c:formatCode>General</c:formatCode>
                <c:ptCount val="208"/>
                <c:pt idx="0">
                  <c:v>1124.0</c:v>
                </c:pt>
                <c:pt idx="1">
                  <c:v>1301.0</c:v>
                </c:pt>
                <c:pt idx="2">
                  <c:v>1374.0</c:v>
                </c:pt>
                <c:pt idx="3">
                  <c:v>1445.0</c:v>
                </c:pt>
                <c:pt idx="4">
                  <c:v>1498.0</c:v>
                </c:pt>
                <c:pt idx="5">
                  <c:v>1504.0</c:v>
                </c:pt>
                <c:pt idx="6">
                  <c:v>1508.0</c:v>
                </c:pt>
                <c:pt idx="7">
                  <c:v>1518.0</c:v>
                </c:pt>
                <c:pt idx="8">
                  <c:v>1524.0</c:v>
                </c:pt>
                <c:pt idx="9">
                  <c:v>1550.0</c:v>
                </c:pt>
                <c:pt idx="10">
                  <c:v>1551.0</c:v>
                </c:pt>
                <c:pt idx="11">
                  <c:v>1563.0</c:v>
                </c:pt>
                <c:pt idx="12">
                  <c:v>1566.0</c:v>
                </c:pt>
                <c:pt idx="13">
                  <c:v>1575.0</c:v>
                </c:pt>
                <c:pt idx="14">
                  <c:v>1580.0</c:v>
                </c:pt>
                <c:pt idx="15">
                  <c:v>1591.0</c:v>
                </c:pt>
                <c:pt idx="16">
                  <c:v>1596.0</c:v>
                </c:pt>
                <c:pt idx="17">
                  <c:v>1597.0</c:v>
                </c:pt>
                <c:pt idx="18">
                  <c:v>1599.0</c:v>
                </c:pt>
                <c:pt idx="19">
                  <c:v>1600.0</c:v>
                </c:pt>
                <c:pt idx="20">
                  <c:v>1603.0</c:v>
                </c:pt>
                <c:pt idx="21">
                  <c:v>1603.0</c:v>
                </c:pt>
                <c:pt idx="22">
                  <c:v>1603.0</c:v>
                </c:pt>
                <c:pt idx="23">
                  <c:v>1613.0</c:v>
                </c:pt>
                <c:pt idx="24">
                  <c:v>1615.0</c:v>
                </c:pt>
                <c:pt idx="25">
                  <c:v>1631.0</c:v>
                </c:pt>
                <c:pt idx="26">
                  <c:v>1636.0</c:v>
                </c:pt>
                <c:pt idx="27">
                  <c:v>1645.0</c:v>
                </c:pt>
                <c:pt idx="28">
                  <c:v>1647.0</c:v>
                </c:pt>
                <c:pt idx="29">
                  <c:v>1655.0</c:v>
                </c:pt>
                <c:pt idx="30">
                  <c:v>1655.0</c:v>
                </c:pt>
                <c:pt idx="31">
                  <c:v>1666.0</c:v>
                </c:pt>
                <c:pt idx="32">
                  <c:v>1667.0</c:v>
                </c:pt>
                <c:pt idx="33">
                  <c:v>1670.0</c:v>
                </c:pt>
                <c:pt idx="34">
                  <c:v>1673.0</c:v>
                </c:pt>
                <c:pt idx="35">
                  <c:v>1683.0</c:v>
                </c:pt>
                <c:pt idx="36">
                  <c:v>1685.0</c:v>
                </c:pt>
                <c:pt idx="37">
                  <c:v>1686.0</c:v>
                </c:pt>
                <c:pt idx="38">
                  <c:v>1686.0</c:v>
                </c:pt>
                <c:pt idx="39">
                  <c:v>1688.0</c:v>
                </c:pt>
                <c:pt idx="40">
                  <c:v>1695.0</c:v>
                </c:pt>
                <c:pt idx="41">
                  <c:v>1695.0</c:v>
                </c:pt>
                <c:pt idx="42">
                  <c:v>1700.0</c:v>
                </c:pt>
                <c:pt idx="43">
                  <c:v>1700.0</c:v>
                </c:pt>
                <c:pt idx="44">
                  <c:v>1700.0</c:v>
                </c:pt>
                <c:pt idx="45">
                  <c:v>1700.0</c:v>
                </c:pt>
                <c:pt idx="46">
                  <c:v>1702.0</c:v>
                </c:pt>
                <c:pt idx="47">
                  <c:v>1703.0</c:v>
                </c:pt>
                <c:pt idx="48">
                  <c:v>1703.0</c:v>
                </c:pt>
                <c:pt idx="49">
                  <c:v>1703.0</c:v>
                </c:pt>
                <c:pt idx="50">
                  <c:v>1713.0</c:v>
                </c:pt>
                <c:pt idx="51">
                  <c:v>1717.0</c:v>
                </c:pt>
                <c:pt idx="52">
                  <c:v>1718.0</c:v>
                </c:pt>
                <c:pt idx="53">
                  <c:v>1718.0</c:v>
                </c:pt>
                <c:pt idx="54">
                  <c:v>1718.0</c:v>
                </c:pt>
                <c:pt idx="55">
                  <c:v>1719.0</c:v>
                </c:pt>
                <c:pt idx="56">
                  <c:v>1720.0</c:v>
                </c:pt>
                <c:pt idx="57">
                  <c:v>1728.0</c:v>
                </c:pt>
                <c:pt idx="58">
                  <c:v>1738.0</c:v>
                </c:pt>
                <c:pt idx="59">
                  <c:v>1740.0</c:v>
                </c:pt>
                <c:pt idx="60">
                  <c:v>1747.0</c:v>
                </c:pt>
                <c:pt idx="61">
                  <c:v>1747.0</c:v>
                </c:pt>
                <c:pt idx="62">
                  <c:v>1747.0</c:v>
                </c:pt>
                <c:pt idx="63">
                  <c:v>1748.0</c:v>
                </c:pt>
                <c:pt idx="64">
                  <c:v>1750.0</c:v>
                </c:pt>
                <c:pt idx="65">
                  <c:v>1752.0</c:v>
                </c:pt>
                <c:pt idx="66">
                  <c:v>1752.0</c:v>
                </c:pt>
                <c:pt idx="67">
                  <c:v>1752.0</c:v>
                </c:pt>
                <c:pt idx="68">
                  <c:v>1753.0</c:v>
                </c:pt>
                <c:pt idx="69">
                  <c:v>1753.0</c:v>
                </c:pt>
                <c:pt idx="70">
                  <c:v>1753.0</c:v>
                </c:pt>
                <c:pt idx="71">
                  <c:v>1767.0</c:v>
                </c:pt>
                <c:pt idx="72">
                  <c:v>1778.0</c:v>
                </c:pt>
                <c:pt idx="73">
                  <c:v>1783.0</c:v>
                </c:pt>
                <c:pt idx="74">
                  <c:v>1788.0</c:v>
                </c:pt>
                <c:pt idx="75">
                  <c:v>1800.0</c:v>
                </c:pt>
                <c:pt idx="76">
                  <c:v>1800.0</c:v>
                </c:pt>
                <c:pt idx="77">
                  <c:v>1800.0</c:v>
                </c:pt>
                <c:pt idx="78">
                  <c:v>1800.0</c:v>
                </c:pt>
                <c:pt idx="79">
                  <c:v>1802.0</c:v>
                </c:pt>
                <c:pt idx="80">
                  <c:v>1802.0</c:v>
                </c:pt>
                <c:pt idx="81">
                  <c:v>1807.0</c:v>
                </c:pt>
                <c:pt idx="82">
                  <c:v>1812.0</c:v>
                </c:pt>
                <c:pt idx="83">
                  <c:v>1814.0</c:v>
                </c:pt>
                <c:pt idx="84">
                  <c:v>1817.0</c:v>
                </c:pt>
                <c:pt idx="85">
                  <c:v>1818.0</c:v>
                </c:pt>
                <c:pt idx="86">
                  <c:v>1818.0</c:v>
                </c:pt>
                <c:pt idx="87">
                  <c:v>1827.0</c:v>
                </c:pt>
                <c:pt idx="88">
                  <c:v>1827.0</c:v>
                </c:pt>
                <c:pt idx="89">
                  <c:v>1827.0</c:v>
                </c:pt>
                <c:pt idx="90">
                  <c:v>1827.0</c:v>
                </c:pt>
                <c:pt idx="91">
                  <c:v>1829.0</c:v>
                </c:pt>
                <c:pt idx="92">
                  <c:v>1843.0</c:v>
                </c:pt>
                <c:pt idx="93">
                  <c:v>1847.0</c:v>
                </c:pt>
                <c:pt idx="94">
                  <c:v>1850.0</c:v>
                </c:pt>
                <c:pt idx="95">
                  <c:v>1854.0</c:v>
                </c:pt>
                <c:pt idx="96">
                  <c:v>1857.0</c:v>
                </c:pt>
                <c:pt idx="97">
                  <c:v>1859.0</c:v>
                </c:pt>
                <c:pt idx="98">
                  <c:v>1859.0</c:v>
                </c:pt>
                <c:pt idx="99">
                  <c:v>1867.0</c:v>
                </c:pt>
                <c:pt idx="100">
                  <c:v>1871.0</c:v>
                </c:pt>
                <c:pt idx="101">
                  <c:v>1884.0</c:v>
                </c:pt>
                <c:pt idx="102">
                  <c:v>1893.0</c:v>
                </c:pt>
                <c:pt idx="103">
                  <c:v>1900.0</c:v>
                </c:pt>
                <c:pt idx="104">
                  <c:v>1900.0</c:v>
                </c:pt>
                <c:pt idx="105">
                  <c:v>1900.0</c:v>
                </c:pt>
                <c:pt idx="106">
                  <c:v>1901.0</c:v>
                </c:pt>
                <c:pt idx="107">
                  <c:v>1903.0</c:v>
                </c:pt>
                <c:pt idx="108">
                  <c:v>1905.0</c:v>
                </c:pt>
                <c:pt idx="109">
                  <c:v>1905.0</c:v>
                </c:pt>
                <c:pt idx="110">
                  <c:v>1907.0</c:v>
                </c:pt>
                <c:pt idx="111">
                  <c:v>1907.0</c:v>
                </c:pt>
                <c:pt idx="112">
                  <c:v>1920.0</c:v>
                </c:pt>
                <c:pt idx="113">
                  <c:v>1921.0</c:v>
                </c:pt>
                <c:pt idx="114">
                  <c:v>1923.0</c:v>
                </c:pt>
                <c:pt idx="115">
                  <c:v>1927.0</c:v>
                </c:pt>
                <c:pt idx="116">
                  <c:v>1940.0</c:v>
                </c:pt>
                <c:pt idx="117">
                  <c:v>1942.0</c:v>
                </c:pt>
                <c:pt idx="118">
                  <c:v>1950.0</c:v>
                </c:pt>
                <c:pt idx="119">
                  <c:v>1951.0</c:v>
                </c:pt>
                <c:pt idx="120">
                  <c:v>1960.0</c:v>
                </c:pt>
                <c:pt idx="121">
                  <c:v>1960.0</c:v>
                </c:pt>
                <c:pt idx="122">
                  <c:v>1969.0</c:v>
                </c:pt>
                <c:pt idx="123">
                  <c:v>1978.0</c:v>
                </c:pt>
                <c:pt idx="124">
                  <c:v>1980.0</c:v>
                </c:pt>
                <c:pt idx="125">
                  <c:v>1983.0</c:v>
                </c:pt>
                <c:pt idx="126">
                  <c:v>1986.0</c:v>
                </c:pt>
                <c:pt idx="127">
                  <c:v>1988.0</c:v>
                </c:pt>
                <c:pt idx="128">
                  <c:v>1989.0</c:v>
                </c:pt>
                <c:pt idx="129">
                  <c:v>1991.0</c:v>
                </c:pt>
                <c:pt idx="130">
                  <c:v>1999.0</c:v>
                </c:pt>
                <c:pt idx="131">
                  <c:v>2000.0</c:v>
                </c:pt>
                <c:pt idx="132">
                  <c:v>2002.0</c:v>
                </c:pt>
                <c:pt idx="133">
                  <c:v>2002.0</c:v>
                </c:pt>
                <c:pt idx="134">
                  <c:v>2003.0</c:v>
                </c:pt>
                <c:pt idx="135">
                  <c:v>2004.0</c:v>
                </c:pt>
                <c:pt idx="136">
                  <c:v>2004.0</c:v>
                </c:pt>
                <c:pt idx="137">
                  <c:v>2004.0</c:v>
                </c:pt>
                <c:pt idx="138">
                  <c:v>2004.0</c:v>
                </c:pt>
                <c:pt idx="139">
                  <c:v>2004.0</c:v>
                </c:pt>
                <c:pt idx="140">
                  <c:v>2004.0</c:v>
                </c:pt>
                <c:pt idx="141">
                  <c:v>2004.0</c:v>
                </c:pt>
                <c:pt idx="142">
                  <c:v>2004.0</c:v>
                </c:pt>
                <c:pt idx="143">
                  <c:v>2007.0</c:v>
                </c:pt>
                <c:pt idx="144">
                  <c:v>2010.0</c:v>
                </c:pt>
                <c:pt idx="145">
                  <c:v>2010.0</c:v>
                </c:pt>
                <c:pt idx="146">
                  <c:v>2012.0</c:v>
                </c:pt>
                <c:pt idx="147">
                  <c:v>2012.0</c:v>
                </c:pt>
                <c:pt idx="148">
                  <c:v>2014.0</c:v>
                </c:pt>
                <c:pt idx="149">
                  <c:v>2019.0</c:v>
                </c:pt>
                <c:pt idx="150">
                  <c:v>2019.0</c:v>
                </c:pt>
                <c:pt idx="151">
                  <c:v>2020.0</c:v>
                </c:pt>
                <c:pt idx="152">
                  <c:v>2020.0</c:v>
                </c:pt>
                <c:pt idx="153">
                  <c:v>2020.0</c:v>
                </c:pt>
                <c:pt idx="154">
                  <c:v>2021.0</c:v>
                </c:pt>
                <c:pt idx="155">
                  <c:v>2023.0</c:v>
                </c:pt>
                <c:pt idx="156">
                  <c:v>2025.0</c:v>
                </c:pt>
                <c:pt idx="157">
                  <c:v>2026.0</c:v>
                </c:pt>
                <c:pt idx="158">
                  <c:v>2035.0</c:v>
                </c:pt>
                <c:pt idx="159">
                  <c:v>2041.0</c:v>
                </c:pt>
                <c:pt idx="160">
                  <c:v>2046.0</c:v>
                </c:pt>
                <c:pt idx="161">
                  <c:v>2047.0</c:v>
                </c:pt>
                <c:pt idx="162">
                  <c:v>2050.0</c:v>
                </c:pt>
                <c:pt idx="163">
                  <c:v>2051.0</c:v>
                </c:pt>
                <c:pt idx="164">
                  <c:v>2055.0</c:v>
                </c:pt>
                <c:pt idx="165">
                  <c:v>2056.0</c:v>
                </c:pt>
                <c:pt idx="166">
                  <c:v>2057.0</c:v>
                </c:pt>
                <c:pt idx="167">
                  <c:v>2057.0</c:v>
                </c:pt>
                <c:pt idx="168">
                  <c:v>2059.0</c:v>
                </c:pt>
                <c:pt idx="169">
                  <c:v>2068.0</c:v>
                </c:pt>
                <c:pt idx="170">
                  <c:v>2072.0</c:v>
                </c:pt>
                <c:pt idx="171">
                  <c:v>2073.0</c:v>
                </c:pt>
                <c:pt idx="172">
                  <c:v>2091.0</c:v>
                </c:pt>
                <c:pt idx="173">
                  <c:v>2095.0</c:v>
                </c:pt>
                <c:pt idx="174">
                  <c:v>2102.0</c:v>
                </c:pt>
                <c:pt idx="175">
                  <c:v>2102.0</c:v>
                </c:pt>
                <c:pt idx="176">
                  <c:v>2102.0</c:v>
                </c:pt>
                <c:pt idx="177">
                  <c:v>2102.0</c:v>
                </c:pt>
                <c:pt idx="178">
                  <c:v>2103.0</c:v>
                </c:pt>
                <c:pt idx="179">
                  <c:v>2105.0</c:v>
                </c:pt>
                <c:pt idx="180">
                  <c:v>2106.0</c:v>
                </c:pt>
                <c:pt idx="181">
                  <c:v>2108.0</c:v>
                </c:pt>
                <c:pt idx="182">
                  <c:v>2109.0</c:v>
                </c:pt>
                <c:pt idx="183">
                  <c:v>2110.0</c:v>
                </c:pt>
                <c:pt idx="184">
                  <c:v>2116.0</c:v>
                </c:pt>
                <c:pt idx="185">
                  <c:v>2130.0</c:v>
                </c:pt>
                <c:pt idx="186">
                  <c:v>2132.0</c:v>
                </c:pt>
                <c:pt idx="187">
                  <c:v>2137.0</c:v>
                </c:pt>
                <c:pt idx="188">
                  <c:v>2149.0</c:v>
                </c:pt>
                <c:pt idx="189">
                  <c:v>2156.0</c:v>
                </c:pt>
                <c:pt idx="190">
                  <c:v>2158.0</c:v>
                </c:pt>
                <c:pt idx="191">
                  <c:v>2161.0</c:v>
                </c:pt>
                <c:pt idx="192">
                  <c:v>2182.0</c:v>
                </c:pt>
                <c:pt idx="193">
                  <c:v>2182.0</c:v>
                </c:pt>
                <c:pt idx="194">
                  <c:v>2183.0</c:v>
                </c:pt>
                <c:pt idx="195">
                  <c:v>2200.0</c:v>
                </c:pt>
                <c:pt idx="196">
                  <c:v>2201.0</c:v>
                </c:pt>
                <c:pt idx="197">
                  <c:v>2202.0</c:v>
                </c:pt>
                <c:pt idx="198">
                  <c:v>2206.0</c:v>
                </c:pt>
                <c:pt idx="199">
                  <c:v>2212.0</c:v>
                </c:pt>
                <c:pt idx="200">
                  <c:v>2226.0</c:v>
                </c:pt>
                <c:pt idx="201">
                  <c:v>2226.0</c:v>
                </c:pt>
                <c:pt idx="202">
                  <c:v>2233.0</c:v>
                </c:pt>
                <c:pt idx="203">
                  <c:v>2236.0</c:v>
                </c:pt>
                <c:pt idx="204">
                  <c:v>2239.0</c:v>
                </c:pt>
                <c:pt idx="205">
                  <c:v>2253.0</c:v>
                </c:pt>
                <c:pt idx="206">
                  <c:v>2276.0</c:v>
                </c:pt>
                <c:pt idx="207">
                  <c:v>2323.0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
          <c:order val="1"/>
          <c:tx>
            <c:v>Ranking</c:v>
          </c:tx>
          <c:spPr>
            <a:ln w="22225">
              <a:solidFill>
                <a:schemeClr val="tx1"/>
              </a:solidFill>
            </a:ln>
          </c:spPr>
          <c:marker>
            <c:symbol val="none"/>
          </c:marker>
          <c:xVal>
            <c:numRef>
              <c:f>'Fig6 Data'!$S$4:$S$211</c:f>
              <c:numCache>
                <c:formatCode>General</c:formatCode>
                <c:ptCount val="208"/>
                <c:pt idx="0">
                  <c:v>1200.0</c:v>
                </c:pt>
                <c:pt idx="1">
                  <c:v>1297.0</c:v>
                </c:pt>
                <c:pt idx="2">
                  <c:v>1370.0</c:v>
                </c:pt>
                <c:pt idx="3">
                  <c:v>1425.0</c:v>
                </c:pt>
                <c:pt idx="4">
                  <c:v>1459.0</c:v>
                </c:pt>
                <c:pt idx="5">
                  <c:v>1504.0</c:v>
                </c:pt>
                <c:pt idx="6">
                  <c:v>1511.0</c:v>
                </c:pt>
                <c:pt idx="7">
                  <c:v>1518.0</c:v>
                </c:pt>
                <c:pt idx="8">
                  <c:v>1518.0</c:v>
                </c:pt>
                <c:pt idx="9">
                  <c:v>1521.0</c:v>
                </c:pt>
                <c:pt idx="10">
                  <c:v>1522.0</c:v>
                </c:pt>
                <c:pt idx="11">
                  <c:v>1527.0</c:v>
                </c:pt>
                <c:pt idx="12">
                  <c:v>1527.0</c:v>
                </c:pt>
                <c:pt idx="13">
                  <c:v>1532.0</c:v>
                </c:pt>
                <c:pt idx="14">
                  <c:v>1542.0</c:v>
                </c:pt>
                <c:pt idx="15">
                  <c:v>1557.0</c:v>
                </c:pt>
                <c:pt idx="16">
                  <c:v>1559.0</c:v>
                </c:pt>
                <c:pt idx="17">
                  <c:v>1563.0</c:v>
                </c:pt>
                <c:pt idx="18">
                  <c:v>1563.0</c:v>
                </c:pt>
                <c:pt idx="19">
                  <c:v>1569.0</c:v>
                </c:pt>
                <c:pt idx="20">
                  <c:v>1576.0</c:v>
                </c:pt>
                <c:pt idx="21">
                  <c:v>1580.0</c:v>
                </c:pt>
                <c:pt idx="22">
                  <c:v>1583.0</c:v>
                </c:pt>
                <c:pt idx="23">
                  <c:v>1585.0</c:v>
                </c:pt>
                <c:pt idx="24">
                  <c:v>1585.0</c:v>
                </c:pt>
                <c:pt idx="25">
                  <c:v>1588.0</c:v>
                </c:pt>
                <c:pt idx="26">
                  <c:v>1591.0</c:v>
                </c:pt>
                <c:pt idx="27">
                  <c:v>1592.0</c:v>
                </c:pt>
                <c:pt idx="28">
                  <c:v>1598.0</c:v>
                </c:pt>
                <c:pt idx="29">
                  <c:v>1598.0</c:v>
                </c:pt>
                <c:pt idx="30">
                  <c:v>1600.0</c:v>
                </c:pt>
                <c:pt idx="31">
                  <c:v>1600.0</c:v>
                </c:pt>
                <c:pt idx="32">
                  <c:v>1603.0</c:v>
                </c:pt>
                <c:pt idx="33">
                  <c:v>1610.0</c:v>
                </c:pt>
                <c:pt idx="34">
                  <c:v>1615.0</c:v>
                </c:pt>
                <c:pt idx="35">
                  <c:v>1622.0</c:v>
                </c:pt>
                <c:pt idx="36">
                  <c:v>1623.0</c:v>
                </c:pt>
                <c:pt idx="37">
                  <c:v>1626.0</c:v>
                </c:pt>
                <c:pt idx="38">
                  <c:v>1627.0</c:v>
                </c:pt>
                <c:pt idx="39">
                  <c:v>1628.0</c:v>
                </c:pt>
                <c:pt idx="40">
                  <c:v>1630.0</c:v>
                </c:pt>
                <c:pt idx="41">
                  <c:v>1633.0</c:v>
                </c:pt>
                <c:pt idx="42">
                  <c:v>1638.0</c:v>
                </c:pt>
                <c:pt idx="43">
                  <c:v>1638.0</c:v>
                </c:pt>
                <c:pt idx="44">
                  <c:v>1640.0</c:v>
                </c:pt>
                <c:pt idx="45">
                  <c:v>1640.0</c:v>
                </c:pt>
                <c:pt idx="46">
                  <c:v>1647.0</c:v>
                </c:pt>
                <c:pt idx="47">
                  <c:v>1655.0</c:v>
                </c:pt>
                <c:pt idx="48">
                  <c:v>1657.0</c:v>
                </c:pt>
                <c:pt idx="49">
                  <c:v>1660.0</c:v>
                </c:pt>
                <c:pt idx="50">
                  <c:v>1660.0</c:v>
                </c:pt>
                <c:pt idx="51">
                  <c:v>1661.0</c:v>
                </c:pt>
                <c:pt idx="52">
                  <c:v>1670.0</c:v>
                </c:pt>
                <c:pt idx="53">
                  <c:v>1673.0</c:v>
                </c:pt>
                <c:pt idx="54">
                  <c:v>1676.0</c:v>
                </c:pt>
                <c:pt idx="55">
                  <c:v>1682.0</c:v>
                </c:pt>
                <c:pt idx="56">
                  <c:v>1688.0</c:v>
                </c:pt>
                <c:pt idx="57">
                  <c:v>1692.0</c:v>
                </c:pt>
                <c:pt idx="58">
                  <c:v>1693.0</c:v>
                </c:pt>
                <c:pt idx="59">
                  <c:v>1693.0</c:v>
                </c:pt>
                <c:pt idx="60">
                  <c:v>1700.0</c:v>
                </c:pt>
                <c:pt idx="61">
                  <c:v>1703.0</c:v>
                </c:pt>
                <c:pt idx="62">
                  <c:v>1703.0</c:v>
                </c:pt>
                <c:pt idx="63">
                  <c:v>1705.0</c:v>
                </c:pt>
                <c:pt idx="64">
                  <c:v>1706.0</c:v>
                </c:pt>
                <c:pt idx="65">
                  <c:v>1710.0</c:v>
                </c:pt>
                <c:pt idx="66">
                  <c:v>1710.0</c:v>
                </c:pt>
                <c:pt idx="67">
                  <c:v>1729.0</c:v>
                </c:pt>
                <c:pt idx="68">
                  <c:v>1730.0</c:v>
                </c:pt>
                <c:pt idx="69">
                  <c:v>1747.0</c:v>
                </c:pt>
                <c:pt idx="70">
                  <c:v>1752.0</c:v>
                </c:pt>
                <c:pt idx="71">
                  <c:v>1752.0</c:v>
                </c:pt>
                <c:pt idx="72">
                  <c:v>1752.0</c:v>
                </c:pt>
                <c:pt idx="73">
                  <c:v>1752.0</c:v>
                </c:pt>
                <c:pt idx="74">
                  <c:v>1753.0</c:v>
                </c:pt>
                <c:pt idx="75">
                  <c:v>1753.0</c:v>
                </c:pt>
                <c:pt idx="76">
                  <c:v>1753.0</c:v>
                </c:pt>
                <c:pt idx="77">
                  <c:v>1757.0</c:v>
                </c:pt>
                <c:pt idx="78">
                  <c:v>1757.0</c:v>
                </c:pt>
                <c:pt idx="79">
                  <c:v>1758.0</c:v>
                </c:pt>
                <c:pt idx="80">
                  <c:v>1758.0</c:v>
                </c:pt>
                <c:pt idx="81">
                  <c:v>1760.0</c:v>
                </c:pt>
                <c:pt idx="82">
                  <c:v>1763.0</c:v>
                </c:pt>
                <c:pt idx="83">
                  <c:v>1767.0</c:v>
                </c:pt>
                <c:pt idx="84">
                  <c:v>1767.0</c:v>
                </c:pt>
                <c:pt idx="85">
                  <c:v>1777.0</c:v>
                </c:pt>
                <c:pt idx="86">
                  <c:v>1777.0</c:v>
                </c:pt>
                <c:pt idx="87">
                  <c:v>1778.0</c:v>
                </c:pt>
                <c:pt idx="88">
                  <c:v>1787.0</c:v>
                </c:pt>
                <c:pt idx="89">
                  <c:v>1792.0</c:v>
                </c:pt>
                <c:pt idx="90">
                  <c:v>1795.0</c:v>
                </c:pt>
                <c:pt idx="91">
                  <c:v>1797.0</c:v>
                </c:pt>
                <c:pt idx="92">
                  <c:v>1798.0</c:v>
                </c:pt>
                <c:pt idx="93">
                  <c:v>1800.0</c:v>
                </c:pt>
                <c:pt idx="94">
                  <c:v>1800.0</c:v>
                </c:pt>
                <c:pt idx="95">
                  <c:v>1802.0</c:v>
                </c:pt>
                <c:pt idx="96">
                  <c:v>1802.0</c:v>
                </c:pt>
                <c:pt idx="97">
                  <c:v>1803.0</c:v>
                </c:pt>
                <c:pt idx="98">
                  <c:v>1808.0</c:v>
                </c:pt>
                <c:pt idx="99">
                  <c:v>1808.0</c:v>
                </c:pt>
                <c:pt idx="100">
                  <c:v>1810.0</c:v>
                </c:pt>
                <c:pt idx="101">
                  <c:v>1814.0</c:v>
                </c:pt>
                <c:pt idx="102">
                  <c:v>1817.0</c:v>
                </c:pt>
                <c:pt idx="103">
                  <c:v>1817.0</c:v>
                </c:pt>
                <c:pt idx="104">
                  <c:v>1820.0</c:v>
                </c:pt>
                <c:pt idx="105">
                  <c:v>1820.0</c:v>
                </c:pt>
                <c:pt idx="106">
                  <c:v>1820.0</c:v>
                </c:pt>
                <c:pt idx="107">
                  <c:v>1824.0</c:v>
                </c:pt>
                <c:pt idx="108">
                  <c:v>1825.0</c:v>
                </c:pt>
                <c:pt idx="109">
                  <c:v>1827.0</c:v>
                </c:pt>
                <c:pt idx="110">
                  <c:v>1827.0</c:v>
                </c:pt>
                <c:pt idx="111">
                  <c:v>1833.0</c:v>
                </c:pt>
                <c:pt idx="112">
                  <c:v>1837.0</c:v>
                </c:pt>
                <c:pt idx="113">
                  <c:v>1837.0</c:v>
                </c:pt>
                <c:pt idx="114">
                  <c:v>1843.0</c:v>
                </c:pt>
                <c:pt idx="115">
                  <c:v>1857.0</c:v>
                </c:pt>
                <c:pt idx="116">
                  <c:v>1860.0</c:v>
                </c:pt>
                <c:pt idx="117">
                  <c:v>1869.0</c:v>
                </c:pt>
                <c:pt idx="118">
                  <c:v>1870.0</c:v>
                </c:pt>
                <c:pt idx="119">
                  <c:v>1871.0</c:v>
                </c:pt>
                <c:pt idx="120">
                  <c:v>1875.0</c:v>
                </c:pt>
                <c:pt idx="121">
                  <c:v>1877.0</c:v>
                </c:pt>
                <c:pt idx="122">
                  <c:v>1882.0</c:v>
                </c:pt>
                <c:pt idx="123">
                  <c:v>1884.0</c:v>
                </c:pt>
                <c:pt idx="124">
                  <c:v>1887.0</c:v>
                </c:pt>
                <c:pt idx="125">
                  <c:v>1897.0</c:v>
                </c:pt>
                <c:pt idx="126">
                  <c:v>1900.0</c:v>
                </c:pt>
                <c:pt idx="127">
                  <c:v>1900.0</c:v>
                </c:pt>
                <c:pt idx="128">
                  <c:v>1901.0</c:v>
                </c:pt>
                <c:pt idx="129">
                  <c:v>1901.0</c:v>
                </c:pt>
                <c:pt idx="130">
                  <c:v>1901.0</c:v>
                </c:pt>
                <c:pt idx="131">
                  <c:v>1902.0</c:v>
                </c:pt>
                <c:pt idx="132">
                  <c:v>1903.0</c:v>
                </c:pt>
                <c:pt idx="133">
                  <c:v>1907.0</c:v>
                </c:pt>
                <c:pt idx="134">
                  <c:v>1914.0</c:v>
                </c:pt>
                <c:pt idx="135">
                  <c:v>1922.0</c:v>
                </c:pt>
                <c:pt idx="136">
                  <c:v>1922.0</c:v>
                </c:pt>
                <c:pt idx="137">
                  <c:v>1925.0</c:v>
                </c:pt>
                <c:pt idx="138">
                  <c:v>1935.0</c:v>
                </c:pt>
                <c:pt idx="139">
                  <c:v>1938.0</c:v>
                </c:pt>
                <c:pt idx="140">
                  <c:v>1942.0</c:v>
                </c:pt>
                <c:pt idx="141">
                  <c:v>1945.0</c:v>
                </c:pt>
                <c:pt idx="142">
                  <c:v>1961.0</c:v>
                </c:pt>
                <c:pt idx="143">
                  <c:v>1968.0</c:v>
                </c:pt>
                <c:pt idx="144">
                  <c:v>1981.0</c:v>
                </c:pt>
                <c:pt idx="145">
                  <c:v>1984.0</c:v>
                </c:pt>
                <c:pt idx="146">
                  <c:v>1987.0</c:v>
                </c:pt>
                <c:pt idx="147">
                  <c:v>1998.0</c:v>
                </c:pt>
                <c:pt idx="148">
                  <c:v>2000.0</c:v>
                </c:pt>
                <c:pt idx="149">
                  <c:v>2000.0</c:v>
                </c:pt>
                <c:pt idx="150">
                  <c:v>2002.0</c:v>
                </c:pt>
                <c:pt idx="151">
                  <c:v>2012.0</c:v>
                </c:pt>
                <c:pt idx="152">
                  <c:v>2016.0</c:v>
                </c:pt>
                <c:pt idx="153">
                  <c:v>2018.0</c:v>
                </c:pt>
                <c:pt idx="154">
                  <c:v>2019.0</c:v>
                </c:pt>
                <c:pt idx="155">
                  <c:v>2026.0</c:v>
                </c:pt>
                <c:pt idx="156">
                  <c:v>2029.0</c:v>
                </c:pt>
                <c:pt idx="157">
                  <c:v>2033.0</c:v>
                </c:pt>
                <c:pt idx="158">
                  <c:v>2040.0</c:v>
                </c:pt>
                <c:pt idx="159">
                  <c:v>2048.0</c:v>
                </c:pt>
                <c:pt idx="160">
                  <c:v>2050.0</c:v>
                </c:pt>
                <c:pt idx="161">
                  <c:v>2050.0</c:v>
                </c:pt>
                <c:pt idx="162">
                  <c:v>2052.0</c:v>
                </c:pt>
                <c:pt idx="163">
                  <c:v>2056.0</c:v>
                </c:pt>
                <c:pt idx="164">
                  <c:v>2062.0</c:v>
                </c:pt>
                <c:pt idx="165">
                  <c:v>2070.0</c:v>
                </c:pt>
                <c:pt idx="166">
                  <c:v>2072.0</c:v>
                </c:pt>
                <c:pt idx="167">
                  <c:v>2074.0</c:v>
                </c:pt>
                <c:pt idx="168">
                  <c:v>2076.0</c:v>
                </c:pt>
                <c:pt idx="169">
                  <c:v>2089.0</c:v>
                </c:pt>
                <c:pt idx="170">
                  <c:v>2099.0</c:v>
                </c:pt>
                <c:pt idx="171">
                  <c:v>2099.0</c:v>
                </c:pt>
                <c:pt idx="172">
                  <c:v>2100.0</c:v>
                </c:pt>
                <c:pt idx="173">
                  <c:v>2100.0</c:v>
                </c:pt>
                <c:pt idx="174">
                  <c:v>2102.0</c:v>
                </c:pt>
                <c:pt idx="175">
                  <c:v>2102.0</c:v>
                </c:pt>
                <c:pt idx="176">
                  <c:v>2106.0</c:v>
                </c:pt>
                <c:pt idx="177">
                  <c:v>2108.0</c:v>
                </c:pt>
                <c:pt idx="178">
                  <c:v>2113.0</c:v>
                </c:pt>
                <c:pt idx="179">
                  <c:v>2115.0</c:v>
                </c:pt>
                <c:pt idx="180">
                  <c:v>2126.0</c:v>
                </c:pt>
                <c:pt idx="181">
                  <c:v>2130.0</c:v>
                </c:pt>
                <c:pt idx="182">
                  <c:v>2139.0</c:v>
                </c:pt>
                <c:pt idx="183">
                  <c:v>2148.0</c:v>
                </c:pt>
                <c:pt idx="184">
                  <c:v>2160.0</c:v>
                </c:pt>
                <c:pt idx="185">
                  <c:v>2163.0</c:v>
                </c:pt>
                <c:pt idx="186">
                  <c:v>2166.0</c:v>
                </c:pt>
                <c:pt idx="187">
                  <c:v>2179.0</c:v>
                </c:pt>
                <c:pt idx="188">
                  <c:v>2179.0</c:v>
                </c:pt>
                <c:pt idx="189">
                  <c:v>2187.0</c:v>
                </c:pt>
                <c:pt idx="190">
                  <c:v>2199.0</c:v>
                </c:pt>
                <c:pt idx="191">
                  <c:v>2209.0</c:v>
                </c:pt>
                <c:pt idx="192">
                  <c:v>2219.0</c:v>
                </c:pt>
                <c:pt idx="193">
                  <c:v>2220.0</c:v>
                </c:pt>
                <c:pt idx="194">
                  <c:v>2229.0</c:v>
                </c:pt>
                <c:pt idx="195">
                  <c:v>2230.0</c:v>
                </c:pt>
                <c:pt idx="196">
                  <c:v>2243.0</c:v>
                </c:pt>
                <c:pt idx="197">
                  <c:v>2249.0</c:v>
                </c:pt>
                <c:pt idx="198">
                  <c:v>2266.0</c:v>
                </c:pt>
                <c:pt idx="199">
                  <c:v>2280.0</c:v>
                </c:pt>
                <c:pt idx="200">
                  <c:v>2286.0</c:v>
                </c:pt>
                <c:pt idx="201">
                  <c:v>2292.0</c:v>
                </c:pt>
                <c:pt idx="202">
                  <c:v>2305.0</c:v>
                </c:pt>
                <c:pt idx="203">
                  <c:v>2343.0</c:v>
                </c:pt>
                <c:pt idx="204">
                  <c:v>2367.0</c:v>
                </c:pt>
                <c:pt idx="205">
                  <c:v>2370.0</c:v>
                </c:pt>
                <c:pt idx="206">
                  <c:v>2456.0</c:v>
                </c:pt>
                <c:pt idx="207">
                  <c:v>2500.0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2"/>
          <c:order val="2"/>
          <c:tx>
            <c:v>Task Significance</c:v>
          </c:tx>
          <c:spPr>
            <a:ln w="22225"/>
          </c:spPr>
          <c:marker>
            <c:symbol val="none"/>
          </c:marker>
          <c:xVal>
            <c:numRef>
              <c:f>'Fig6 Data'!$T$4:$T$211</c:f>
              <c:numCache>
                <c:formatCode>General</c:formatCode>
                <c:ptCount val="208"/>
                <c:pt idx="0">
                  <c:v>1267.0</c:v>
                </c:pt>
                <c:pt idx="1">
                  <c:v>1287.0</c:v>
                </c:pt>
                <c:pt idx="2">
                  <c:v>1398.0</c:v>
                </c:pt>
                <c:pt idx="3">
                  <c:v>1420.0</c:v>
                </c:pt>
                <c:pt idx="4">
                  <c:v>1425.0</c:v>
                </c:pt>
                <c:pt idx="5">
                  <c:v>1428.0</c:v>
                </c:pt>
                <c:pt idx="6">
                  <c:v>1438.0</c:v>
                </c:pt>
                <c:pt idx="7">
                  <c:v>1448.0</c:v>
                </c:pt>
                <c:pt idx="8">
                  <c:v>1455.0</c:v>
                </c:pt>
                <c:pt idx="9">
                  <c:v>1467.0</c:v>
                </c:pt>
                <c:pt idx="10">
                  <c:v>1504.0</c:v>
                </c:pt>
                <c:pt idx="11">
                  <c:v>1508.0</c:v>
                </c:pt>
                <c:pt idx="12">
                  <c:v>1516.0</c:v>
                </c:pt>
                <c:pt idx="13">
                  <c:v>1518.0</c:v>
                </c:pt>
                <c:pt idx="14">
                  <c:v>1521.0</c:v>
                </c:pt>
                <c:pt idx="15">
                  <c:v>1522.0</c:v>
                </c:pt>
                <c:pt idx="16">
                  <c:v>1522.0</c:v>
                </c:pt>
                <c:pt idx="17">
                  <c:v>1523.0</c:v>
                </c:pt>
                <c:pt idx="18">
                  <c:v>1527.0</c:v>
                </c:pt>
                <c:pt idx="19">
                  <c:v>1527.0</c:v>
                </c:pt>
                <c:pt idx="20">
                  <c:v>1529.0</c:v>
                </c:pt>
                <c:pt idx="21">
                  <c:v>1530.0</c:v>
                </c:pt>
                <c:pt idx="22">
                  <c:v>1530.0</c:v>
                </c:pt>
                <c:pt idx="23">
                  <c:v>1531.0</c:v>
                </c:pt>
                <c:pt idx="24">
                  <c:v>1532.0</c:v>
                </c:pt>
                <c:pt idx="25">
                  <c:v>1542.0</c:v>
                </c:pt>
                <c:pt idx="26">
                  <c:v>1548.0</c:v>
                </c:pt>
                <c:pt idx="27">
                  <c:v>1552.0</c:v>
                </c:pt>
                <c:pt idx="28">
                  <c:v>1553.0</c:v>
                </c:pt>
                <c:pt idx="29">
                  <c:v>1555.0</c:v>
                </c:pt>
                <c:pt idx="30">
                  <c:v>1556.0</c:v>
                </c:pt>
                <c:pt idx="31">
                  <c:v>1556.0</c:v>
                </c:pt>
                <c:pt idx="32">
                  <c:v>1557.0</c:v>
                </c:pt>
                <c:pt idx="33">
                  <c:v>1558.0</c:v>
                </c:pt>
                <c:pt idx="34">
                  <c:v>1560.0</c:v>
                </c:pt>
                <c:pt idx="35">
                  <c:v>1561.0</c:v>
                </c:pt>
                <c:pt idx="36">
                  <c:v>1565.0</c:v>
                </c:pt>
                <c:pt idx="37">
                  <c:v>1566.0</c:v>
                </c:pt>
                <c:pt idx="38">
                  <c:v>1568.0</c:v>
                </c:pt>
                <c:pt idx="39">
                  <c:v>1569.0</c:v>
                </c:pt>
                <c:pt idx="40">
                  <c:v>1577.0</c:v>
                </c:pt>
                <c:pt idx="41">
                  <c:v>1579.0</c:v>
                </c:pt>
                <c:pt idx="42">
                  <c:v>1579.0</c:v>
                </c:pt>
                <c:pt idx="43">
                  <c:v>1585.0</c:v>
                </c:pt>
                <c:pt idx="44">
                  <c:v>1586.0</c:v>
                </c:pt>
                <c:pt idx="45">
                  <c:v>1586.0</c:v>
                </c:pt>
                <c:pt idx="46">
                  <c:v>1588.0</c:v>
                </c:pt>
                <c:pt idx="47">
                  <c:v>1591.0</c:v>
                </c:pt>
                <c:pt idx="48">
                  <c:v>1595.0</c:v>
                </c:pt>
                <c:pt idx="49">
                  <c:v>1596.0</c:v>
                </c:pt>
                <c:pt idx="50">
                  <c:v>1597.0</c:v>
                </c:pt>
                <c:pt idx="51">
                  <c:v>1597.0</c:v>
                </c:pt>
                <c:pt idx="52">
                  <c:v>1597.0</c:v>
                </c:pt>
                <c:pt idx="53">
                  <c:v>1598.0</c:v>
                </c:pt>
                <c:pt idx="54">
                  <c:v>1599.0</c:v>
                </c:pt>
                <c:pt idx="55">
                  <c:v>1600.0</c:v>
                </c:pt>
                <c:pt idx="56">
                  <c:v>1600.0</c:v>
                </c:pt>
                <c:pt idx="57">
                  <c:v>1601.0</c:v>
                </c:pt>
                <c:pt idx="58">
                  <c:v>1601.0</c:v>
                </c:pt>
                <c:pt idx="59">
                  <c:v>1601.0</c:v>
                </c:pt>
                <c:pt idx="60">
                  <c:v>1603.0</c:v>
                </c:pt>
                <c:pt idx="61">
                  <c:v>1605.0</c:v>
                </c:pt>
                <c:pt idx="62">
                  <c:v>1606.0</c:v>
                </c:pt>
                <c:pt idx="63">
                  <c:v>1606.0</c:v>
                </c:pt>
                <c:pt idx="64">
                  <c:v>1607.0</c:v>
                </c:pt>
                <c:pt idx="65">
                  <c:v>1607.0</c:v>
                </c:pt>
                <c:pt idx="66">
                  <c:v>1608.0</c:v>
                </c:pt>
                <c:pt idx="67">
                  <c:v>1609.0</c:v>
                </c:pt>
                <c:pt idx="68">
                  <c:v>1610.0</c:v>
                </c:pt>
                <c:pt idx="69">
                  <c:v>1610.0</c:v>
                </c:pt>
                <c:pt idx="70">
                  <c:v>1613.0</c:v>
                </c:pt>
                <c:pt idx="71">
                  <c:v>1615.0</c:v>
                </c:pt>
                <c:pt idx="72">
                  <c:v>1618.0</c:v>
                </c:pt>
                <c:pt idx="73">
                  <c:v>1621.0</c:v>
                </c:pt>
                <c:pt idx="74">
                  <c:v>1626.0</c:v>
                </c:pt>
                <c:pt idx="75">
                  <c:v>1626.0</c:v>
                </c:pt>
                <c:pt idx="76">
                  <c:v>1627.0</c:v>
                </c:pt>
                <c:pt idx="77">
                  <c:v>1627.0</c:v>
                </c:pt>
                <c:pt idx="78">
                  <c:v>1628.0</c:v>
                </c:pt>
                <c:pt idx="79">
                  <c:v>1628.0</c:v>
                </c:pt>
                <c:pt idx="80">
                  <c:v>1638.0</c:v>
                </c:pt>
                <c:pt idx="81">
                  <c:v>1640.0</c:v>
                </c:pt>
                <c:pt idx="82">
                  <c:v>1648.0</c:v>
                </c:pt>
                <c:pt idx="83">
                  <c:v>1650.0</c:v>
                </c:pt>
                <c:pt idx="84">
                  <c:v>1650.0</c:v>
                </c:pt>
                <c:pt idx="85">
                  <c:v>1650.0</c:v>
                </c:pt>
                <c:pt idx="86">
                  <c:v>1650.0</c:v>
                </c:pt>
                <c:pt idx="87">
                  <c:v>1650.0</c:v>
                </c:pt>
                <c:pt idx="88">
                  <c:v>1653.0</c:v>
                </c:pt>
                <c:pt idx="89">
                  <c:v>1656.0</c:v>
                </c:pt>
                <c:pt idx="90">
                  <c:v>1657.0</c:v>
                </c:pt>
                <c:pt idx="91">
                  <c:v>1658.0</c:v>
                </c:pt>
                <c:pt idx="92">
                  <c:v>1658.0</c:v>
                </c:pt>
                <c:pt idx="93">
                  <c:v>1660.0</c:v>
                </c:pt>
                <c:pt idx="94">
                  <c:v>1666.0</c:v>
                </c:pt>
                <c:pt idx="95">
                  <c:v>1670.0</c:v>
                </c:pt>
                <c:pt idx="96">
                  <c:v>1670.0</c:v>
                </c:pt>
                <c:pt idx="97">
                  <c:v>1673.0</c:v>
                </c:pt>
                <c:pt idx="98">
                  <c:v>1675.0</c:v>
                </c:pt>
                <c:pt idx="99">
                  <c:v>1676.0</c:v>
                </c:pt>
                <c:pt idx="100">
                  <c:v>1676.0</c:v>
                </c:pt>
                <c:pt idx="101">
                  <c:v>1682.0</c:v>
                </c:pt>
                <c:pt idx="102">
                  <c:v>1686.0</c:v>
                </c:pt>
                <c:pt idx="103">
                  <c:v>1690.0</c:v>
                </c:pt>
                <c:pt idx="104">
                  <c:v>1690.0</c:v>
                </c:pt>
                <c:pt idx="105">
                  <c:v>1696.0</c:v>
                </c:pt>
                <c:pt idx="106">
                  <c:v>1700.0</c:v>
                </c:pt>
                <c:pt idx="107">
                  <c:v>1702.0</c:v>
                </c:pt>
                <c:pt idx="108">
                  <c:v>1703.0</c:v>
                </c:pt>
                <c:pt idx="109">
                  <c:v>1703.0</c:v>
                </c:pt>
                <c:pt idx="110">
                  <c:v>1703.0</c:v>
                </c:pt>
                <c:pt idx="111">
                  <c:v>1712.0</c:v>
                </c:pt>
                <c:pt idx="112">
                  <c:v>1713.0</c:v>
                </c:pt>
                <c:pt idx="113">
                  <c:v>1717.0</c:v>
                </c:pt>
                <c:pt idx="114">
                  <c:v>1720.0</c:v>
                </c:pt>
                <c:pt idx="115">
                  <c:v>1722.0</c:v>
                </c:pt>
                <c:pt idx="116">
                  <c:v>1735.0</c:v>
                </c:pt>
                <c:pt idx="117">
                  <c:v>1737.0</c:v>
                </c:pt>
                <c:pt idx="118">
                  <c:v>1740.0</c:v>
                </c:pt>
                <c:pt idx="119">
                  <c:v>1743.0</c:v>
                </c:pt>
                <c:pt idx="120">
                  <c:v>1743.0</c:v>
                </c:pt>
                <c:pt idx="121">
                  <c:v>1747.0</c:v>
                </c:pt>
                <c:pt idx="122">
                  <c:v>1748.0</c:v>
                </c:pt>
                <c:pt idx="123">
                  <c:v>1752.0</c:v>
                </c:pt>
                <c:pt idx="124">
                  <c:v>1752.0</c:v>
                </c:pt>
                <c:pt idx="125">
                  <c:v>1752.0</c:v>
                </c:pt>
                <c:pt idx="126">
                  <c:v>1757.0</c:v>
                </c:pt>
                <c:pt idx="127">
                  <c:v>1757.0</c:v>
                </c:pt>
                <c:pt idx="128">
                  <c:v>1767.0</c:v>
                </c:pt>
                <c:pt idx="129">
                  <c:v>1768.0</c:v>
                </c:pt>
                <c:pt idx="130">
                  <c:v>1768.0</c:v>
                </c:pt>
                <c:pt idx="131">
                  <c:v>1770.0</c:v>
                </c:pt>
                <c:pt idx="132">
                  <c:v>1785.0</c:v>
                </c:pt>
                <c:pt idx="133">
                  <c:v>1785.0</c:v>
                </c:pt>
                <c:pt idx="134">
                  <c:v>1791.0</c:v>
                </c:pt>
                <c:pt idx="135">
                  <c:v>1797.0</c:v>
                </c:pt>
                <c:pt idx="136">
                  <c:v>1805.0</c:v>
                </c:pt>
                <c:pt idx="137">
                  <c:v>1808.0</c:v>
                </c:pt>
                <c:pt idx="138">
                  <c:v>1808.0</c:v>
                </c:pt>
                <c:pt idx="139">
                  <c:v>1808.0</c:v>
                </c:pt>
                <c:pt idx="140">
                  <c:v>1810.0</c:v>
                </c:pt>
                <c:pt idx="141">
                  <c:v>1812.0</c:v>
                </c:pt>
                <c:pt idx="142">
                  <c:v>1822.0</c:v>
                </c:pt>
                <c:pt idx="143">
                  <c:v>1830.0</c:v>
                </c:pt>
                <c:pt idx="144">
                  <c:v>1835.0</c:v>
                </c:pt>
                <c:pt idx="145">
                  <c:v>1840.0</c:v>
                </c:pt>
                <c:pt idx="146">
                  <c:v>1850.0</c:v>
                </c:pt>
                <c:pt idx="147">
                  <c:v>1853.0</c:v>
                </c:pt>
                <c:pt idx="148">
                  <c:v>1857.0</c:v>
                </c:pt>
                <c:pt idx="149">
                  <c:v>1857.0</c:v>
                </c:pt>
                <c:pt idx="150">
                  <c:v>1864.0</c:v>
                </c:pt>
                <c:pt idx="151">
                  <c:v>1874.0</c:v>
                </c:pt>
                <c:pt idx="152">
                  <c:v>1876.0</c:v>
                </c:pt>
                <c:pt idx="153">
                  <c:v>1880.0</c:v>
                </c:pt>
                <c:pt idx="154">
                  <c:v>1882.0</c:v>
                </c:pt>
                <c:pt idx="155">
                  <c:v>1890.0</c:v>
                </c:pt>
                <c:pt idx="156">
                  <c:v>1893.0</c:v>
                </c:pt>
                <c:pt idx="157">
                  <c:v>1907.0</c:v>
                </c:pt>
                <c:pt idx="158">
                  <c:v>1907.0</c:v>
                </c:pt>
                <c:pt idx="159">
                  <c:v>1911.0</c:v>
                </c:pt>
                <c:pt idx="160">
                  <c:v>1911.0</c:v>
                </c:pt>
                <c:pt idx="161">
                  <c:v>1913.0</c:v>
                </c:pt>
                <c:pt idx="162">
                  <c:v>1915.0</c:v>
                </c:pt>
                <c:pt idx="163">
                  <c:v>1925.0</c:v>
                </c:pt>
                <c:pt idx="164">
                  <c:v>1925.0</c:v>
                </c:pt>
                <c:pt idx="165">
                  <c:v>1930.0</c:v>
                </c:pt>
                <c:pt idx="166">
                  <c:v>1931.0</c:v>
                </c:pt>
                <c:pt idx="167">
                  <c:v>1932.0</c:v>
                </c:pt>
                <c:pt idx="168">
                  <c:v>1964.0</c:v>
                </c:pt>
                <c:pt idx="169">
                  <c:v>1989.0</c:v>
                </c:pt>
                <c:pt idx="170">
                  <c:v>2000.0</c:v>
                </c:pt>
                <c:pt idx="171">
                  <c:v>2000.0</c:v>
                </c:pt>
                <c:pt idx="172">
                  <c:v>2000.0</c:v>
                </c:pt>
                <c:pt idx="173">
                  <c:v>2004.0</c:v>
                </c:pt>
                <c:pt idx="174">
                  <c:v>2008.0</c:v>
                </c:pt>
                <c:pt idx="175">
                  <c:v>2015.0</c:v>
                </c:pt>
                <c:pt idx="176">
                  <c:v>2029.0</c:v>
                </c:pt>
                <c:pt idx="177">
                  <c:v>2035.0</c:v>
                </c:pt>
                <c:pt idx="178">
                  <c:v>2038.0</c:v>
                </c:pt>
                <c:pt idx="179">
                  <c:v>2040.0</c:v>
                </c:pt>
                <c:pt idx="180">
                  <c:v>2042.0</c:v>
                </c:pt>
                <c:pt idx="181">
                  <c:v>2042.0</c:v>
                </c:pt>
                <c:pt idx="182">
                  <c:v>2050.0</c:v>
                </c:pt>
                <c:pt idx="183">
                  <c:v>2051.0</c:v>
                </c:pt>
                <c:pt idx="184">
                  <c:v>2070.0</c:v>
                </c:pt>
                <c:pt idx="185">
                  <c:v>2072.0</c:v>
                </c:pt>
                <c:pt idx="186">
                  <c:v>2085.0</c:v>
                </c:pt>
                <c:pt idx="187">
                  <c:v>2099.0</c:v>
                </c:pt>
                <c:pt idx="188">
                  <c:v>2130.0</c:v>
                </c:pt>
                <c:pt idx="189">
                  <c:v>2138.0</c:v>
                </c:pt>
                <c:pt idx="190">
                  <c:v>2147.0</c:v>
                </c:pt>
                <c:pt idx="191">
                  <c:v>2153.0</c:v>
                </c:pt>
                <c:pt idx="192">
                  <c:v>2159.0</c:v>
                </c:pt>
                <c:pt idx="193">
                  <c:v>2166.0</c:v>
                </c:pt>
                <c:pt idx="194">
                  <c:v>2179.0</c:v>
                </c:pt>
                <c:pt idx="195">
                  <c:v>2199.0</c:v>
                </c:pt>
                <c:pt idx="196">
                  <c:v>2205.0</c:v>
                </c:pt>
                <c:pt idx="197">
                  <c:v>2206.0</c:v>
                </c:pt>
                <c:pt idx="198">
                  <c:v>2213.0</c:v>
                </c:pt>
                <c:pt idx="199">
                  <c:v>2269.0</c:v>
                </c:pt>
                <c:pt idx="200">
                  <c:v>2283.0</c:v>
                </c:pt>
                <c:pt idx="201">
                  <c:v>2290.0</c:v>
                </c:pt>
                <c:pt idx="202">
                  <c:v>2353.0</c:v>
                </c:pt>
                <c:pt idx="203">
                  <c:v>2353.0</c:v>
                </c:pt>
                <c:pt idx="204">
                  <c:v>2373.0</c:v>
                </c:pt>
                <c:pt idx="205">
                  <c:v>2386.0</c:v>
                </c:pt>
                <c:pt idx="206">
                  <c:v>2393.0</c:v>
                </c:pt>
                <c:pt idx="207">
                  <c:v>2406.0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3"/>
          <c:order val="3"/>
          <c:tx>
            <c:v>Gift Exchange</c:v>
          </c:tx>
          <c:spPr>
            <a:ln w="22225"/>
          </c:spPr>
          <c:marker>
            <c:symbol val="none"/>
          </c:marker>
          <c:xVal>
            <c:numRef>
              <c:f>'Fig6 Data'!$U$4:$U$211</c:f>
              <c:numCache>
                <c:formatCode>General</c:formatCode>
                <c:ptCount val="208"/>
                <c:pt idx="0">
                  <c:v>1174.0</c:v>
                </c:pt>
                <c:pt idx="1">
                  <c:v>1243.0</c:v>
                </c:pt>
                <c:pt idx="2">
                  <c:v>1291.0</c:v>
                </c:pt>
                <c:pt idx="3">
                  <c:v>1300.0</c:v>
                </c:pt>
                <c:pt idx="4">
                  <c:v>1365.0</c:v>
                </c:pt>
                <c:pt idx="5">
                  <c:v>1365.0</c:v>
                </c:pt>
                <c:pt idx="6">
                  <c:v>1398.0</c:v>
                </c:pt>
                <c:pt idx="7">
                  <c:v>1401.0</c:v>
                </c:pt>
                <c:pt idx="8">
                  <c:v>1442.0</c:v>
                </c:pt>
                <c:pt idx="9">
                  <c:v>1465.0</c:v>
                </c:pt>
                <c:pt idx="10">
                  <c:v>1473.0</c:v>
                </c:pt>
                <c:pt idx="11">
                  <c:v>1474.0</c:v>
                </c:pt>
                <c:pt idx="12">
                  <c:v>1482.0</c:v>
                </c:pt>
                <c:pt idx="13">
                  <c:v>1500.0</c:v>
                </c:pt>
                <c:pt idx="14">
                  <c:v>1501.0</c:v>
                </c:pt>
                <c:pt idx="15">
                  <c:v>1501.0</c:v>
                </c:pt>
                <c:pt idx="16">
                  <c:v>1504.0</c:v>
                </c:pt>
                <c:pt idx="17">
                  <c:v>1509.0</c:v>
                </c:pt>
                <c:pt idx="18">
                  <c:v>1518.0</c:v>
                </c:pt>
                <c:pt idx="19">
                  <c:v>1518.0</c:v>
                </c:pt>
                <c:pt idx="20">
                  <c:v>1520.0</c:v>
                </c:pt>
                <c:pt idx="21">
                  <c:v>1521.0</c:v>
                </c:pt>
                <c:pt idx="22">
                  <c:v>1522.0</c:v>
                </c:pt>
                <c:pt idx="23">
                  <c:v>1522.0</c:v>
                </c:pt>
                <c:pt idx="24">
                  <c:v>1524.0</c:v>
                </c:pt>
                <c:pt idx="25">
                  <c:v>1524.0</c:v>
                </c:pt>
                <c:pt idx="26">
                  <c:v>1526.0</c:v>
                </c:pt>
                <c:pt idx="27">
                  <c:v>1527.0</c:v>
                </c:pt>
                <c:pt idx="28">
                  <c:v>1528.0</c:v>
                </c:pt>
                <c:pt idx="29">
                  <c:v>1530.0</c:v>
                </c:pt>
                <c:pt idx="30">
                  <c:v>1531.0</c:v>
                </c:pt>
                <c:pt idx="31">
                  <c:v>1532.0</c:v>
                </c:pt>
                <c:pt idx="32">
                  <c:v>1532.0</c:v>
                </c:pt>
                <c:pt idx="33">
                  <c:v>1537.0</c:v>
                </c:pt>
                <c:pt idx="34">
                  <c:v>1540.0</c:v>
                </c:pt>
                <c:pt idx="35">
                  <c:v>1541.0</c:v>
                </c:pt>
                <c:pt idx="36">
                  <c:v>1542.0</c:v>
                </c:pt>
                <c:pt idx="37">
                  <c:v>1542.0</c:v>
                </c:pt>
                <c:pt idx="38">
                  <c:v>1543.0</c:v>
                </c:pt>
                <c:pt idx="39">
                  <c:v>1546.0</c:v>
                </c:pt>
                <c:pt idx="40">
                  <c:v>1546.0</c:v>
                </c:pt>
                <c:pt idx="41">
                  <c:v>1547.0</c:v>
                </c:pt>
                <c:pt idx="42">
                  <c:v>1549.0</c:v>
                </c:pt>
                <c:pt idx="43">
                  <c:v>1550.0</c:v>
                </c:pt>
                <c:pt idx="44">
                  <c:v>1550.0</c:v>
                </c:pt>
                <c:pt idx="45">
                  <c:v>1552.0</c:v>
                </c:pt>
                <c:pt idx="46">
                  <c:v>1553.0</c:v>
                </c:pt>
                <c:pt idx="47">
                  <c:v>1556.0</c:v>
                </c:pt>
                <c:pt idx="48">
                  <c:v>1556.0</c:v>
                </c:pt>
                <c:pt idx="49">
                  <c:v>1558.0</c:v>
                </c:pt>
                <c:pt idx="50">
                  <c:v>1560.0</c:v>
                </c:pt>
                <c:pt idx="51">
                  <c:v>1561.0</c:v>
                </c:pt>
                <c:pt idx="52">
                  <c:v>1563.0</c:v>
                </c:pt>
                <c:pt idx="53">
                  <c:v>1575.0</c:v>
                </c:pt>
                <c:pt idx="54">
                  <c:v>1576.0</c:v>
                </c:pt>
                <c:pt idx="55">
                  <c:v>1577.0</c:v>
                </c:pt>
                <c:pt idx="56">
                  <c:v>1581.0</c:v>
                </c:pt>
                <c:pt idx="57">
                  <c:v>1583.0</c:v>
                </c:pt>
                <c:pt idx="58">
                  <c:v>1583.0</c:v>
                </c:pt>
                <c:pt idx="59">
                  <c:v>1585.0</c:v>
                </c:pt>
                <c:pt idx="60">
                  <c:v>1586.0</c:v>
                </c:pt>
                <c:pt idx="61">
                  <c:v>1590.0</c:v>
                </c:pt>
                <c:pt idx="62">
                  <c:v>1590.0</c:v>
                </c:pt>
                <c:pt idx="63">
                  <c:v>1591.0</c:v>
                </c:pt>
                <c:pt idx="64">
                  <c:v>1593.0</c:v>
                </c:pt>
                <c:pt idx="65">
                  <c:v>1593.0</c:v>
                </c:pt>
                <c:pt idx="66">
                  <c:v>1596.0</c:v>
                </c:pt>
                <c:pt idx="67">
                  <c:v>1596.0</c:v>
                </c:pt>
                <c:pt idx="68">
                  <c:v>1598.0</c:v>
                </c:pt>
                <c:pt idx="69">
                  <c:v>1598.0</c:v>
                </c:pt>
                <c:pt idx="70">
                  <c:v>1600.0</c:v>
                </c:pt>
                <c:pt idx="71">
                  <c:v>1601.0</c:v>
                </c:pt>
                <c:pt idx="72">
                  <c:v>1603.0</c:v>
                </c:pt>
                <c:pt idx="73">
                  <c:v>1605.0</c:v>
                </c:pt>
                <c:pt idx="74">
                  <c:v>1605.0</c:v>
                </c:pt>
                <c:pt idx="75">
                  <c:v>1606.0</c:v>
                </c:pt>
                <c:pt idx="76">
                  <c:v>1606.0</c:v>
                </c:pt>
                <c:pt idx="77">
                  <c:v>1606.0</c:v>
                </c:pt>
                <c:pt idx="78">
                  <c:v>1607.0</c:v>
                </c:pt>
                <c:pt idx="79">
                  <c:v>1610.0</c:v>
                </c:pt>
                <c:pt idx="80">
                  <c:v>1616.0</c:v>
                </c:pt>
                <c:pt idx="81">
                  <c:v>1618.0</c:v>
                </c:pt>
                <c:pt idx="82">
                  <c:v>1619.0</c:v>
                </c:pt>
                <c:pt idx="83">
                  <c:v>1619.0</c:v>
                </c:pt>
                <c:pt idx="84">
                  <c:v>1628.0</c:v>
                </c:pt>
                <c:pt idx="85">
                  <c:v>1629.0</c:v>
                </c:pt>
                <c:pt idx="86">
                  <c:v>1631.0</c:v>
                </c:pt>
                <c:pt idx="87">
                  <c:v>1631.0</c:v>
                </c:pt>
                <c:pt idx="88">
                  <c:v>1636.0</c:v>
                </c:pt>
                <c:pt idx="89">
                  <c:v>1638.0</c:v>
                </c:pt>
                <c:pt idx="90">
                  <c:v>1640.0</c:v>
                </c:pt>
                <c:pt idx="91">
                  <c:v>1640.0</c:v>
                </c:pt>
                <c:pt idx="92">
                  <c:v>1643.0</c:v>
                </c:pt>
                <c:pt idx="93">
                  <c:v>1643.0</c:v>
                </c:pt>
                <c:pt idx="94">
                  <c:v>1645.0</c:v>
                </c:pt>
                <c:pt idx="95">
                  <c:v>1645.0</c:v>
                </c:pt>
                <c:pt idx="96">
                  <c:v>1650.0</c:v>
                </c:pt>
                <c:pt idx="97">
                  <c:v>1650.0</c:v>
                </c:pt>
                <c:pt idx="98">
                  <c:v>1651.0</c:v>
                </c:pt>
                <c:pt idx="99">
                  <c:v>1653.0</c:v>
                </c:pt>
                <c:pt idx="100">
                  <c:v>1653.0</c:v>
                </c:pt>
                <c:pt idx="101">
                  <c:v>1660.0</c:v>
                </c:pt>
                <c:pt idx="102">
                  <c:v>1660.0</c:v>
                </c:pt>
                <c:pt idx="103">
                  <c:v>1661.0</c:v>
                </c:pt>
                <c:pt idx="104">
                  <c:v>1663.0</c:v>
                </c:pt>
                <c:pt idx="105">
                  <c:v>1666.0</c:v>
                </c:pt>
                <c:pt idx="106">
                  <c:v>1670.0</c:v>
                </c:pt>
                <c:pt idx="107">
                  <c:v>1685.0</c:v>
                </c:pt>
                <c:pt idx="108">
                  <c:v>1685.0</c:v>
                </c:pt>
                <c:pt idx="109">
                  <c:v>1686.0</c:v>
                </c:pt>
                <c:pt idx="110">
                  <c:v>1688.0</c:v>
                </c:pt>
                <c:pt idx="111">
                  <c:v>1688.0</c:v>
                </c:pt>
                <c:pt idx="112">
                  <c:v>1690.0</c:v>
                </c:pt>
                <c:pt idx="113">
                  <c:v>1690.0</c:v>
                </c:pt>
                <c:pt idx="114">
                  <c:v>1692.0</c:v>
                </c:pt>
                <c:pt idx="115">
                  <c:v>1693.0</c:v>
                </c:pt>
                <c:pt idx="116">
                  <c:v>1696.0</c:v>
                </c:pt>
                <c:pt idx="117">
                  <c:v>1697.0</c:v>
                </c:pt>
                <c:pt idx="118">
                  <c:v>1698.0</c:v>
                </c:pt>
                <c:pt idx="119">
                  <c:v>1700.0</c:v>
                </c:pt>
                <c:pt idx="120">
                  <c:v>1700.0</c:v>
                </c:pt>
                <c:pt idx="121">
                  <c:v>1700.0</c:v>
                </c:pt>
                <c:pt idx="122">
                  <c:v>1703.0</c:v>
                </c:pt>
                <c:pt idx="123">
                  <c:v>1703.0</c:v>
                </c:pt>
                <c:pt idx="124">
                  <c:v>1703.0</c:v>
                </c:pt>
                <c:pt idx="125">
                  <c:v>1710.0</c:v>
                </c:pt>
                <c:pt idx="126">
                  <c:v>1711.0</c:v>
                </c:pt>
                <c:pt idx="127">
                  <c:v>1715.0</c:v>
                </c:pt>
                <c:pt idx="128">
                  <c:v>1718.0</c:v>
                </c:pt>
                <c:pt idx="129">
                  <c:v>1720.0</c:v>
                </c:pt>
                <c:pt idx="130">
                  <c:v>1720.0</c:v>
                </c:pt>
                <c:pt idx="131">
                  <c:v>1727.0</c:v>
                </c:pt>
                <c:pt idx="132">
                  <c:v>1735.0</c:v>
                </c:pt>
                <c:pt idx="133">
                  <c:v>1737.0</c:v>
                </c:pt>
                <c:pt idx="134">
                  <c:v>1740.0</c:v>
                </c:pt>
                <c:pt idx="135">
                  <c:v>1742.0</c:v>
                </c:pt>
                <c:pt idx="136">
                  <c:v>1748.0</c:v>
                </c:pt>
                <c:pt idx="137">
                  <c:v>1749.0</c:v>
                </c:pt>
                <c:pt idx="138">
                  <c:v>1750.0</c:v>
                </c:pt>
                <c:pt idx="139">
                  <c:v>1750.0</c:v>
                </c:pt>
                <c:pt idx="140">
                  <c:v>1752.0</c:v>
                </c:pt>
                <c:pt idx="141">
                  <c:v>1753.0</c:v>
                </c:pt>
                <c:pt idx="142">
                  <c:v>1753.0</c:v>
                </c:pt>
                <c:pt idx="143">
                  <c:v>1755.0</c:v>
                </c:pt>
                <c:pt idx="144">
                  <c:v>1755.0</c:v>
                </c:pt>
                <c:pt idx="145">
                  <c:v>1757.0</c:v>
                </c:pt>
                <c:pt idx="146">
                  <c:v>1758.0</c:v>
                </c:pt>
                <c:pt idx="147">
                  <c:v>1773.0</c:v>
                </c:pt>
                <c:pt idx="148">
                  <c:v>1777.0</c:v>
                </c:pt>
                <c:pt idx="149">
                  <c:v>1780.0</c:v>
                </c:pt>
                <c:pt idx="150">
                  <c:v>1795.0</c:v>
                </c:pt>
                <c:pt idx="151">
                  <c:v>1798.0</c:v>
                </c:pt>
                <c:pt idx="152">
                  <c:v>1800.0</c:v>
                </c:pt>
                <c:pt idx="153">
                  <c:v>1800.0</c:v>
                </c:pt>
                <c:pt idx="154">
                  <c:v>1802.0</c:v>
                </c:pt>
                <c:pt idx="155">
                  <c:v>1803.0</c:v>
                </c:pt>
                <c:pt idx="156">
                  <c:v>1824.0</c:v>
                </c:pt>
                <c:pt idx="157">
                  <c:v>1827.0</c:v>
                </c:pt>
                <c:pt idx="158">
                  <c:v>1830.0</c:v>
                </c:pt>
                <c:pt idx="159">
                  <c:v>1830.0</c:v>
                </c:pt>
                <c:pt idx="160">
                  <c:v>1830.0</c:v>
                </c:pt>
                <c:pt idx="161">
                  <c:v>1840.0</c:v>
                </c:pt>
                <c:pt idx="162">
                  <c:v>1847.0</c:v>
                </c:pt>
                <c:pt idx="163">
                  <c:v>1850.0</c:v>
                </c:pt>
                <c:pt idx="164">
                  <c:v>1850.0</c:v>
                </c:pt>
                <c:pt idx="165">
                  <c:v>1852.0</c:v>
                </c:pt>
                <c:pt idx="166">
                  <c:v>1859.0</c:v>
                </c:pt>
                <c:pt idx="167">
                  <c:v>1859.0</c:v>
                </c:pt>
                <c:pt idx="168">
                  <c:v>1864.0</c:v>
                </c:pt>
                <c:pt idx="169">
                  <c:v>1872.0</c:v>
                </c:pt>
                <c:pt idx="170">
                  <c:v>1872.0</c:v>
                </c:pt>
                <c:pt idx="171">
                  <c:v>1881.0</c:v>
                </c:pt>
                <c:pt idx="172">
                  <c:v>1887.0</c:v>
                </c:pt>
                <c:pt idx="173">
                  <c:v>1889.0</c:v>
                </c:pt>
                <c:pt idx="174">
                  <c:v>1895.0</c:v>
                </c:pt>
                <c:pt idx="175">
                  <c:v>1897.0</c:v>
                </c:pt>
                <c:pt idx="176">
                  <c:v>1910.0</c:v>
                </c:pt>
                <c:pt idx="177">
                  <c:v>1922.0</c:v>
                </c:pt>
                <c:pt idx="178">
                  <c:v>1938.0</c:v>
                </c:pt>
                <c:pt idx="179">
                  <c:v>1952.0</c:v>
                </c:pt>
                <c:pt idx="180">
                  <c:v>1961.0</c:v>
                </c:pt>
                <c:pt idx="181">
                  <c:v>1986.0</c:v>
                </c:pt>
                <c:pt idx="182">
                  <c:v>1987.0</c:v>
                </c:pt>
                <c:pt idx="183">
                  <c:v>1999.0</c:v>
                </c:pt>
                <c:pt idx="184">
                  <c:v>2013.0</c:v>
                </c:pt>
                <c:pt idx="185">
                  <c:v>2019.0</c:v>
                </c:pt>
                <c:pt idx="186">
                  <c:v>2019.0</c:v>
                </c:pt>
                <c:pt idx="187">
                  <c:v>2021.0</c:v>
                </c:pt>
                <c:pt idx="188">
                  <c:v>2022.0</c:v>
                </c:pt>
                <c:pt idx="189">
                  <c:v>2038.0</c:v>
                </c:pt>
                <c:pt idx="190">
                  <c:v>2039.0</c:v>
                </c:pt>
                <c:pt idx="191">
                  <c:v>2042.0</c:v>
                </c:pt>
                <c:pt idx="192">
                  <c:v>2082.0</c:v>
                </c:pt>
                <c:pt idx="193">
                  <c:v>2086.0</c:v>
                </c:pt>
                <c:pt idx="194">
                  <c:v>2107.0</c:v>
                </c:pt>
                <c:pt idx="195">
                  <c:v>2130.0</c:v>
                </c:pt>
                <c:pt idx="196">
                  <c:v>2135.0</c:v>
                </c:pt>
                <c:pt idx="197">
                  <c:v>2169.0</c:v>
                </c:pt>
                <c:pt idx="198">
                  <c:v>2193.0</c:v>
                </c:pt>
                <c:pt idx="199">
                  <c:v>2199.0</c:v>
                </c:pt>
                <c:pt idx="200">
                  <c:v>2202.0</c:v>
                </c:pt>
                <c:pt idx="201">
                  <c:v>2210.0</c:v>
                </c:pt>
                <c:pt idx="202">
                  <c:v>2216.0</c:v>
                </c:pt>
                <c:pt idx="203">
                  <c:v>2216.0</c:v>
                </c:pt>
                <c:pt idx="204">
                  <c:v>2229.0</c:v>
                </c:pt>
                <c:pt idx="205">
                  <c:v>2235.0</c:v>
                </c:pt>
                <c:pt idx="206">
                  <c:v>2250.0</c:v>
                </c:pt>
                <c:pt idx="207">
                  <c:v>2353.0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4"/>
          <c:order val="4"/>
          <c:tx>
            <c:v>Social Competition actual</c:v>
          </c:tx>
          <c:spPr>
            <a:ln>
              <a:noFill/>
            </a:ln>
          </c:spPr>
          <c:marker>
            <c:symbol val="circle"/>
            <c:size val="5"/>
            <c:spPr>
              <a:solidFill>
                <a:srgbClr val="C00000"/>
              </a:solidFill>
              <a:ln>
                <a:solidFill>
                  <a:srgbClr val="C00000"/>
                </a:solidFill>
              </a:ln>
            </c:spPr>
          </c:marker>
          <c:xVal>
            <c:numRef>
              <c:f>'Fig6 Data'!$R$214</c:f>
              <c:numCache>
                <c:formatCode>General</c:formatCode>
                <c:ptCount val="1"/>
                <c:pt idx="0">
                  <c:v>1848.0</c:v>
                </c:pt>
              </c:numCache>
            </c:numRef>
          </c:xVal>
          <c:yVal>
            <c:numRef>
              <c:f>'Fig6 Data'!$C$97</c:f>
              <c:numCache>
                <c:formatCode>General</c:formatCode>
                <c:ptCount val="1"/>
                <c:pt idx="0">
                  <c:v>0.451923076923077</c:v>
                </c:pt>
              </c:numCache>
            </c:numRef>
          </c:yVal>
          <c:smooth val="1"/>
        </c:ser>
        <c:ser>
          <c:idx val="5"/>
          <c:order val="5"/>
          <c:tx>
            <c:v>Ranking actual</c:v>
          </c:tx>
          <c:spPr>
            <a:ln>
              <a:noFill/>
            </a:ln>
          </c:spPr>
          <c:marker>
            <c:symbol val="circle"/>
            <c:size val="5"/>
            <c:spPr>
              <a:solidFill>
                <a:srgbClr val="C00000"/>
              </a:solidFill>
              <a:ln>
                <a:solidFill>
                  <a:srgbClr val="C00000"/>
                </a:solidFill>
              </a:ln>
            </c:spPr>
          </c:marker>
          <c:xVal>
            <c:numRef>
              <c:f>'Fig6 Data'!$S$214</c:f>
              <c:numCache>
                <c:formatCode>General</c:formatCode>
                <c:ptCount val="1"/>
                <c:pt idx="0">
                  <c:v>1761.0</c:v>
                </c:pt>
              </c:numCache>
            </c:numRef>
          </c:xVal>
          <c:yVal>
            <c:numRef>
              <c:f>'Fig6 Data'!$C$85</c:f>
              <c:numCache>
                <c:formatCode>General</c:formatCode>
                <c:ptCount val="1"/>
                <c:pt idx="0">
                  <c:v>0.394230769230769</c:v>
                </c:pt>
              </c:numCache>
            </c:numRef>
          </c:yVal>
          <c:smooth val="1"/>
        </c:ser>
        <c:ser>
          <c:idx val="6"/>
          <c:order val="6"/>
          <c:tx>
            <c:v>Task Significance actual</c:v>
          </c:tx>
          <c:spPr>
            <a:ln>
              <a:noFill/>
            </a:ln>
          </c:spPr>
          <c:marker>
            <c:symbol val="circle"/>
            <c:size val="5"/>
            <c:spPr>
              <a:solidFill>
                <a:srgbClr val="C00000"/>
              </a:solidFill>
              <a:ln>
                <a:solidFill>
                  <a:srgbClr val="C00000"/>
                </a:solidFill>
              </a:ln>
            </c:spPr>
          </c:marker>
          <c:xVal>
            <c:numRef>
              <c:f>'Fig6 Data'!$T$214</c:f>
              <c:numCache>
                <c:formatCode>General</c:formatCode>
                <c:ptCount val="1"/>
                <c:pt idx="0">
                  <c:v>1740.0</c:v>
                </c:pt>
              </c:numCache>
            </c:numRef>
          </c:xVal>
          <c:yVal>
            <c:numRef>
              <c:f>'Fig6 Data'!$C$122</c:f>
              <c:numCache>
                <c:formatCode>General</c:formatCode>
                <c:ptCount val="1"/>
                <c:pt idx="0">
                  <c:v>0.572115384615385</c:v>
                </c:pt>
              </c:numCache>
            </c:numRef>
          </c:yVal>
          <c:smooth val="1"/>
        </c:ser>
        <c:ser>
          <c:idx val="7"/>
          <c:order val="7"/>
          <c:tx>
            <c:v>Actual Effort Level</c:v>
          </c:tx>
          <c:spPr>
            <a:ln>
              <a:noFill/>
            </a:ln>
          </c:spPr>
          <c:marker>
            <c:symbol val="circle"/>
            <c:size val="5"/>
            <c:spPr>
              <a:solidFill>
                <a:srgbClr val="C00000"/>
              </a:solidFill>
              <a:ln>
                <a:solidFill>
                  <a:srgbClr val="C00000"/>
                </a:solidFill>
              </a:ln>
            </c:spPr>
          </c:marker>
          <c:xVal>
            <c:numRef>
              <c:f>'Fig6 Data'!$U$214</c:f>
              <c:numCache>
                <c:formatCode>General</c:formatCode>
                <c:ptCount val="1"/>
                <c:pt idx="0">
                  <c:v>1602.0</c:v>
                </c:pt>
              </c:numCache>
            </c:numRef>
          </c:xVal>
          <c:yVal>
            <c:numRef>
              <c:f>'Fig6 Data'!$C$75</c:f>
              <c:numCache>
                <c:formatCode>General</c:formatCode>
                <c:ptCount val="1"/>
                <c:pt idx="0">
                  <c:v>0.346153846153846</c:v>
                </c:pt>
              </c:numCache>
            </c:numRef>
          </c:yVal>
          <c:smooth val="1"/>
        </c:ser>
        <c:ser>
          <c:idx val="8"/>
          <c:order val="8"/>
          <c:tx>
            <c:v>20th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Data'!$AA$4:$AA$211</c:f>
              <c:numCache>
                <c:formatCode>0.00</c:formatCode>
                <c:ptCount val="208"/>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0.2</c:v>
                </c:pt>
                <c:pt idx="49">
                  <c:v>0.2</c:v>
                </c:pt>
                <c:pt idx="50">
                  <c:v>0.2</c:v>
                </c:pt>
                <c:pt idx="51">
                  <c:v>0.2</c:v>
                </c:pt>
                <c:pt idx="52">
                  <c:v>0.2</c:v>
                </c:pt>
                <c:pt idx="53">
                  <c:v>0.2</c:v>
                </c:pt>
                <c:pt idx="54">
                  <c:v>0.2</c:v>
                </c:pt>
                <c:pt idx="55">
                  <c:v>0.2</c:v>
                </c:pt>
                <c:pt idx="56">
                  <c:v>0.2</c:v>
                </c:pt>
                <c:pt idx="57">
                  <c:v>0.2</c:v>
                </c:pt>
                <c:pt idx="58">
                  <c:v>0.2</c:v>
                </c:pt>
                <c:pt idx="59">
                  <c:v>0.2</c:v>
                </c:pt>
                <c:pt idx="60">
                  <c:v>0.2</c:v>
                </c:pt>
                <c:pt idx="61">
                  <c:v>0.2</c:v>
                </c:pt>
                <c:pt idx="62">
                  <c:v>0.2</c:v>
                </c:pt>
                <c:pt idx="63">
                  <c:v>0.2</c:v>
                </c:pt>
                <c:pt idx="64">
                  <c:v>0.2</c:v>
                </c:pt>
                <c:pt idx="65">
                  <c:v>0.2</c:v>
                </c:pt>
                <c:pt idx="66">
                  <c:v>0.2</c:v>
                </c:pt>
                <c:pt idx="67">
                  <c:v>0.2</c:v>
                </c:pt>
                <c:pt idx="68">
                  <c:v>0.2</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0.2</c:v>
                </c:pt>
                <c:pt idx="85">
                  <c:v>0.2</c:v>
                </c:pt>
                <c:pt idx="86">
                  <c:v>0.2</c:v>
                </c:pt>
                <c:pt idx="87">
                  <c:v>0.2</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0.2</c:v>
                </c:pt>
                <c:pt idx="105">
                  <c:v>0.2</c:v>
                </c:pt>
                <c:pt idx="106">
                  <c:v>0.2</c:v>
                </c:pt>
                <c:pt idx="107">
                  <c:v>0.2</c:v>
                </c:pt>
                <c:pt idx="108">
                  <c:v>0.2</c:v>
                </c:pt>
                <c:pt idx="109">
                  <c:v>0.2</c:v>
                </c:pt>
                <c:pt idx="110">
                  <c:v>0.2</c:v>
                </c:pt>
                <c:pt idx="111">
                  <c:v>0.2</c:v>
                </c:pt>
                <c:pt idx="112">
                  <c:v>0.2</c:v>
                </c:pt>
                <c:pt idx="113">
                  <c:v>0.2</c:v>
                </c:pt>
                <c:pt idx="114">
                  <c:v>0.2</c:v>
                </c:pt>
                <c:pt idx="115">
                  <c:v>0.2</c:v>
                </c:pt>
                <c:pt idx="116">
                  <c:v>0.2</c:v>
                </c:pt>
                <c:pt idx="117">
                  <c:v>0.2</c:v>
                </c:pt>
                <c:pt idx="118">
                  <c:v>0.2</c:v>
                </c:pt>
                <c:pt idx="119">
                  <c:v>0.2</c:v>
                </c:pt>
                <c:pt idx="120">
                  <c:v>0.2</c:v>
                </c:pt>
                <c:pt idx="121">
                  <c:v>0.2</c:v>
                </c:pt>
                <c:pt idx="122">
                  <c:v>0.2</c:v>
                </c:pt>
                <c:pt idx="123">
                  <c:v>0.2</c:v>
                </c:pt>
                <c:pt idx="124">
                  <c:v>0.2</c:v>
                </c:pt>
                <c:pt idx="125">
                  <c:v>0.2</c:v>
                </c:pt>
                <c:pt idx="126">
                  <c:v>0.2</c:v>
                </c:pt>
                <c:pt idx="127">
                  <c:v>0.2</c:v>
                </c:pt>
                <c:pt idx="128">
                  <c:v>0.2</c:v>
                </c:pt>
                <c:pt idx="129">
                  <c:v>0.2</c:v>
                </c:pt>
                <c:pt idx="130">
                  <c:v>0.2</c:v>
                </c:pt>
                <c:pt idx="131">
                  <c:v>0.2</c:v>
                </c:pt>
                <c:pt idx="132">
                  <c:v>0.2</c:v>
                </c:pt>
                <c:pt idx="133">
                  <c:v>0.2</c:v>
                </c:pt>
                <c:pt idx="134">
                  <c:v>0.2</c:v>
                </c:pt>
                <c:pt idx="135">
                  <c:v>0.2</c:v>
                </c:pt>
                <c:pt idx="136">
                  <c:v>0.2</c:v>
                </c:pt>
                <c:pt idx="137">
                  <c:v>0.2</c:v>
                </c:pt>
                <c:pt idx="138">
                  <c:v>0.2</c:v>
                </c:pt>
                <c:pt idx="139">
                  <c:v>0.2</c:v>
                </c:pt>
                <c:pt idx="140">
                  <c:v>0.2</c:v>
                </c:pt>
                <c:pt idx="141">
                  <c:v>0.2</c:v>
                </c:pt>
                <c:pt idx="142">
                  <c:v>0.2</c:v>
                </c:pt>
                <c:pt idx="143">
                  <c:v>0.2</c:v>
                </c:pt>
                <c:pt idx="144">
                  <c:v>0.2</c:v>
                </c:pt>
                <c:pt idx="145">
                  <c:v>0.2</c:v>
                </c:pt>
                <c:pt idx="146">
                  <c:v>0.2</c:v>
                </c:pt>
                <c:pt idx="147">
                  <c:v>0.2</c:v>
                </c:pt>
                <c:pt idx="148">
                  <c:v>0.2</c:v>
                </c:pt>
                <c:pt idx="149">
                  <c:v>0.2</c:v>
                </c:pt>
                <c:pt idx="150">
                  <c:v>0.2</c:v>
                </c:pt>
                <c:pt idx="151">
                  <c:v>0.2</c:v>
                </c:pt>
                <c:pt idx="152">
                  <c:v>0.2</c:v>
                </c:pt>
                <c:pt idx="153">
                  <c:v>0.2</c:v>
                </c:pt>
                <c:pt idx="154">
                  <c:v>0.2</c:v>
                </c:pt>
                <c:pt idx="155">
                  <c:v>0.2</c:v>
                </c:pt>
                <c:pt idx="156">
                  <c:v>0.2</c:v>
                </c:pt>
                <c:pt idx="157">
                  <c:v>0.2</c:v>
                </c:pt>
                <c:pt idx="158">
                  <c:v>0.2</c:v>
                </c:pt>
                <c:pt idx="159">
                  <c:v>0.2</c:v>
                </c:pt>
                <c:pt idx="160">
                  <c:v>0.2</c:v>
                </c:pt>
                <c:pt idx="161">
                  <c:v>0.2</c:v>
                </c:pt>
                <c:pt idx="162">
                  <c:v>0.2</c:v>
                </c:pt>
                <c:pt idx="163">
                  <c:v>0.2</c:v>
                </c:pt>
                <c:pt idx="164">
                  <c:v>0.2</c:v>
                </c:pt>
                <c:pt idx="165">
                  <c:v>0.2</c:v>
                </c:pt>
                <c:pt idx="166">
                  <c:v>0.2</c:v>
                </c:pt>
                <c:pt idx="167">
                  <c:v>0.2</c:v>
                </c:pt>
                <c:pt idx="168">
                  <c:v>0.2</c:v>
                </c:pt>
                <c:pt idx="169">
                  <c:v>0.2</c:v>
                </c:pt>
                <c:pt idx="170">
                  <c:v>0.2</c:v>
                </c:pt>
                <c:pt idx="171">
                  <c:v>0.2</c:v>
                </c:pt>
                <c:pt idx="172">
                  <c:v>0.2</c:v>
                </c:pt>
                <c:pt idx="173">
                  <c:v>0.2</c:v>
                </c:pt>
                <c:pt idx="174">
                  <c:v>0.2</c:v>
                </c:pt>
                <c:pt idx="175">
                  <c:v>0.2</c:v>
                </c:pt>
                <c:pt idx="176">
                  <c:v>0.2</c:v>
                </c:pt>
                <c:pt idx="177">
                  <c:v>0.2</c:v>
                </c:pt>
                <c:pt idx="178">
                  <c:v>0.2</c:v>
                </c:pt>
                <c:pt idx="179">
                  <c:v>0.2</c:v>
                </c:pt>
                <c:pt idx="180">
                  <c:v>0.2</c:v>
                </c:pt>
                <c:pt idx="181">
                  <c:v>0.2</c:v>
                </c:pt>
                <c:pt idx="182">
                  <c:v>0.2</c:v>
                </c:pt>
                <c:pt idx="183">
                  <c:v>0.2</c:v>
                </c:pt>
                <c:pt idx="184">
                  <c:v>0.2</c:v>
                </c:pt>
                <c:pt idx="185">
                  <c:v>0.2</c:v>
                </c:pt>
                <c:pt idx="186">
                  <c:v>0.2</c:v>
                </c:pt>
                <c:pt idx="187">
                  <c:v>0.2</c:v>
                </c:pt>
                <c:pt idx="188">
                  <c:v>0.2</c:v>
                </c:pt>
                <c:pt idx="189">
                  <c:v>0.2</c:v>
                </c:pt>
                <c:pt idx="190">
                  <c:v>0.2</c:v>
                </c:pt>
                <c:pt idx="191">
                  <c:v>0.2</c:v>
                </c:pt>
                <c:pt idx="192">
                  <c:v>0.2</c:v>
                </c:pt>
                <c:pt idx="193">
                  <c:v>0.2</c:v>
                </c:pt>
                <c:pt idx="194">
                  <c:v>0.2</c:v>
                </c:pt>
                <c:pt idx="195">
                  <c:v>0.2</c:v>
                </c:pt>
                <c:pt idx="196">
                  <c:v>0.2</c:v>
                </c:pt>
                <c:pt idx="197">
                  <c:v>0.2</c:v>
                </c:pt>
                <c:pt idx="198">
                  <c:v>0.2</c:v>
                </c:pt>
                <c:pt idx="199">
                  <c:v>0.2</c:v>
                </c:pt>
                <c:pt idx="200">
                  <c:v>0.2</c:v>
                </c:pt>
                <c:pt idx="201">
                  <c:v>0.2</c:v>
                </c:pt>
                <c:pt idx="202">
                  <c:v>0.2</c:v>
                </c:pt>
                <c:pt idx="203">
                  <c:v>0.2</c:v>
                </c:pt>
                <c:pt idx="204">
                  <c:v>0.2</c:v>
                </c:pt>
                <c:pt idx="205">
                  <c:v>0.2</c:v>
                </c:pt>
                <c:pt idx="206">
                  <c:v>0.2</c:v>
                </c:pt>
                <c:pt idx="207">
                  <c:v>0.2</c:v>
                </c:pt>
              </c:numCache>
            </c:numRef>
          </c:yVal>
          <c:smooth val="1"/>
        </c:ser>
        <c:ser>
          <c:idx val="9"/>
          <c:order val="9"/>
          <c:tx>
            <c:v>Median</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Data'!$AB$4:$AB$211</c:f>
              <c:numCache>
                <c:formatCode>0.00</c:formatCode>
                <c:ptCount val="208"/>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numCache>
            </c:numRef>
          </c:yVal>
          <c:smooth val="1"/>
        </c:ser>
        <c:ser>
          <c:idx val="10"/>
          <c:order val="10"/>
          <c:tx>
            <c:v>80th percentile</c:v>
          </c:tx>
          <c:spPr>
            <a:ln w="25400">
              <a:solidFill>
                <a:srgbClr val="4F81BD">
                  <a:lumMod val="40000"/>
                  <a:lumOff val="60000"/>
                </a:srgbClr>
              </a:solidFill>
              <a:prstDash val="sysDot"/>
            </a:ln>
          </c:spPr>
          <c:marker>
            <c:symbol val="none"/>
          </c:marker>
          <c:xVal>
            <c:numRef>
              <c:f>'Fig6 Data'!$AD$4:$AD$211</c:f>
              <c:numCache>
                <c:formatCode>General</c:formatCode>
                <c:ptCount val="208"/>
                <c:pt idx="0">
                  <c:v>1000.0</c:v>
                </c:pt>
                <c:pt idx="1">
                  <c:v>1007.2</c:v>
                </c:pt>
                <c:pt idx="2">
                  <c:v>1014.4</c:v>
                </c:pt>
                <c:pt idx="3">
                  <c:v>1021.6</c:v>
                </c:pt>
                <c:pt idx="4">
                  <c:v>1028.8</c:v>
                </c:pt>
                <c:pt idx="5">
                  <c:v>1036.0</c:v>
                </c:pt>
                <c:pt idx="6">
                  <c:v>1043.2</c:v>
                </c:pt>
                <c:pt idx="7">
                  <c:v>1050.4</c:v>
                </c:pt>
                <c:pt idx="8">
                  <c:v>1057.6</c:v>
                </c:pt>
                <c:pt idx="9">
                  <c:v>1064.8</c:v>
                </c:pt>
                <c:pt idx="10">
                  <c:v>1072.0</c:v>
                </c:pt>
                <c:pt idx="11">
                  <c:v>1079.2</c:v>
                </c:pt>
                <c:pt idx="12">
                  <c:v>1086.4</c:v>
                </c:pt>
                <c:pt idx="13">
                  <c:v>1093.6</c:v>
                </c:pt>
                <c:pt idx="14">
                  <c:v>1100.8</c:v>
                </c:pt>
                <c:pt idx="15">
                  <c:v>1108.0</c:v>
                </c:pt>
                <c:pt idx="16">
                  <c:v>1115.2</c:v>
                </c:pt>
                <c:pt idx="17">
                  <c:v>1122.4</c:v>
                </c:pt>
                <c:pt idx="18">
                  <c:v>1129.6</c:v>
                </c:pt>
                <c:pt idx="19">
                  <c:v>1136.8</c:v>
                </c:pt>
                <c:pt idx="20">
                  <c:v>1144.0</c:v>
                </c:pt>
                <c:pt idx="21">
                  <c:v>1151.2</c:v>
                </c:pt>
                <c:pt idx="22">
                  <c:v>1158.4</c:v>
                </c:pt>
                <c:pt idx="23">
                  <c:v>1165.6</c:v>
                </c:pt>
                <c:pt idx="24">
                  <c:v>1172.8</c:v>
                </c:pt>
                <c:pt idx="25">
                  <c:v>1180.0</c:v>
                </c:pt>
                <c:pt idx="26">
                  <c:v>1187.2</c:v>
                </c:pt>
                <c:pt idx="27">
                  <c:v>1194.4</c:v>
                </c:pt>
                <c:pt idx="28">
                  <c:v>1201.6</c:v>
                </c:pt>
                <c:pt idx="29">
                  <c:v>1208.8</c:v>
                </c:pt>
                <c:pt idx="30">
                  <c:v>1216.0</c:v>
                </c:pt>
                <c:pt idx="31">
                  <c:v>1223.2</c:v>
                </c:pt>
                <c:pt idx="32">
                  <c:v>1230.4</c:v>
                </c:pt>
                <c:pt idx="33">
                  <c:v>1237.6</c:v>
                </c:pt>
                <c:pt idx="34">
                  <c:v>1244.8</c:v>
                </c:pt>
                <c:pt idx="35">
                  <c:v>1252.0</c:v>
                </c:pt>
                <c:pt idx="36">
                  <c:v>1259.2</c:v>
                </c:pt>
                <c:pt idx="37">
                  <c:v>1266.4</c:v>
                </c:pt>
                <c:pt idx="38">
                  <c:v>1273.6</c:v>
                </c:pt>
                <c:pt idx="39">
                  <c:v>1280.8</c:v>
                </c:pt>
                <c:pt idx="40">
                  <c:v>1288.0</c:v>
                </c:pt>
                <c:pt idx="41">
                  <c:v>1295.2</c:v>
                </c:pt>
                <c:pt idx="42">
                  <c:v>1302.4</c:v>
                </c:pt>
                <c:pt idx="43">
                  <c:v>1309.6</c:v>
                </c:pt>
                <c:pt idx="44">
                  <c:v>1316.8</c:v>
                </c:pt>
                <c:pt idx="45">
                  <c:v>1324.0</c:v>
                </c:pt>
                <c:pt idx="46">
                  <c:v>1331.2</c:v>
                </c:pt>
                <c:pt idx="47">
                  <c:v>1338.4</c:v>
                </c:pt>
                <c:pt idx="48">
                  <c:v>1345.6</c:v>
                </c:pt>
                <c:pt idx="49">
                  <c:v>1352.8</c:v>
                </c:pt>
                <c:pt idx="50">
                  <c:v>1360.0</c:v>
                </c:pt>
                <c:pt idx="51">
                  <c:v>1367.2</c:v>
                </c:pt>
                <c:pt idx="52">
                  <c:v>1374.4</c:v>
                </c:pt>
                <c:pt idx="53">
                  <c:v>1381.6</c:v>
                </c:pt>
                <c:pt idx="54">
                  <c:v>1388.8</c:v>
                </c:pt>
                <c:pt idx="55">
                  <c:v>1396.0</c:v>
                </c:pt>
                <c:pt idx="56">
                  <c:v>1403.2</c:v>
                </c:pt>
                <c:pt idx="57">
                  <c:v>1410.4</c:v>
                </c:pt>
                <c:pt idx="58">
                  <c:v>1417.6</c:v>
                </c:pt>
                <c:pt idx="59">
                  <c:v>1424.8</c:v>
                </c:pt>
                <c:pt idx="60">
                  <c:v>1432.0</c:v>
                </c:pt>
                <c:pt idx="61">
                  <c:v>1439.2</c:v>
                </c:pt>
                <c:pt idx="62">
                  <c:v>1446.4</c:v>
                </c:pt>
                <c:pt idx="63">
                  <c:v>1453.6</c:v>
                </c:pt>
                <c:pt idx="64">
                  <c:v>1460.8</c:v>
                </c:pt>
                <c:pt idx="65">
                  <c:v>1468.0</c:v>
                </c:pt>
                <c:pt idx="66">
                  <c:v>1475.2</c:v>
                </c:pt>
                <c:pt idx="67">
                  <c:v>1482.4</c:v>
                </c:pt>
                <c:pt idx="68">
                  <c:v>1489.6</c:v>
                </c:pt>
                <c:pt idx="69">
                  <c:v>1496.8</c:v>
                </c:pt>
                <c:pt idx="70">
                  <c:v>1504.0</c:v>
                </c:pt>
                <c:pt idx="71">
                  <c:v>1511.2</c:v>
                </c:pt>
                <c:pt idx="72">
                  <c:v>1518.4</c:v>
                </c:pt>
                <c:pt idx="73">
                  <c:v>1525.6</c:v>
                </c:pt>
                <c:pt idx="74">
                  <c:v>1532.8</c:v>
                </c:pt>
                <c:pt idx="75">
                  <c:v>1540.0</c:v>
                </c:pt>
                <c:pt idx="76">
                  <c:v>1547.2</c:v>
                </c:pt>
                <c:pt idx="77">
                  <c:v>1554.4</c:v>
                </c:pt>
                <c:pt idx="78">
                  <c:v>1561.6</c:v>
                </c:pt>
                <c:pt idx="79">
                  <c:v>1568.8</c:v>
                </c:pt>
                <c:pt idx="80">
                  <c:v>1576.0</c:v>
                </c:pt>
                <c:pt idx="81">
                  <c:v>1583.2</c:v>
                </c:pt>
                <c:pt idx="82">
                  <c:v>1590.4</c:v>
                </c:pt>
                <c:pt idx="83">
                  <c:v>1597.6</c:v>
                </c:pt>
                <c:pt idx="84">
                  <c:v>1604.8</c:v>
                </c:pt>
                <c:pt idx="85">
                  <c:v>1612.0</c:v>
                </c:pt>
                <c:pt idx="86">
                  <c:v>1619.2</c:v>
                </c:pt>
                <c:pt idx="87">
                  <c:v>1626.4</c:v>
                </c:pt>
                <c:pt idx="88">
                  <c:v>1633.6</c:v>
                </c:pt>
                <c:pt idx="89">
                  <c:v>1640.8</c:v>
                </c:pt>
                <c:pt idx="90">
                  <c:v>1648.0</c:v>
                </c:pt>
                <c:pt idx="91">
                  <c:v>1655.2</c:v>
                </c:pt>
                <c:pt idx="92">
                  <c:v>1662.4</c:v>
                </c:pt>
                <c:pt idx="93">
                  <c:v>1669.6</c:v>
                </c:pt>
                <c:pt idx="94">
                  <c:v>1676.8</c:v>
                </c:pt>
                <c:pt idx="95">
                  <c:v>1684.0</c:v>
                </c:pt>
                <c:pt idx="96">
                  <c:v>1691.2</c:v>
                </c:pt>
                <c:pt idx="97">
                  <c:v>1698.4</c:v>
                </c:pt>
                <c:pt idx="98">
                  <c:v>1705.6</c:v>
                </c:pt>
                <c:pt idx="99">
                  <c:v>1712.8</c:v>
                </c:pt>
                <c:pt idx="100">
                  <c:v>1720.00000000001</c:v>
                </c:pt>
                <c:pt idx="101">
                  <c:v>1727.20000000001</c:v>
                </c:pt>
                <c:pt idx="102">
                  <c:v>1734.40000000001</c:v>
                </c:pt>
                <c:pt idx="103">
                  <c:v>1741.6</c:v>
                </c:pt>
                <c:pt idx="104">
                  <c:v>1748.8</c:v>
                </c:pt>
                <c:pt idx="105">
                  <c:v>1756.00000000001</c:v>
                </c:pt>
                <c:pt idx="106">
                  <c:v>1763.20000000001</c:v>
                </c:pt>
                <c:pt idx="107">
                  <c:v>1770.40000000001</c:v>
                </c:pt>
                <c:pt idx="108">
                  <c:v>1777.6</c:v>
                </c:pt>
                <c:pt idx="109">
                  <c:v>1784.8</c:v>
                </c:pt>
                <c:pt idx="110">
                  <c:v>1792.00000000001</c:v>
                </c:pt>
                <c:pt idx="111">
                  <c:v>1799.20000000001</c:v>
                </c:pt>
                <c:pt idx="112">
                  <c:v>1806.40000000001</c:v>
                </c:pt>
                <c:pt idx="113">
                  <c:v>1813.6</c:v>
                </c:pt>
                <c:pt idx="114">
                  <c:v>1820.8</c:v>
                </c:pt>
                <c:pt idx="115">
                  <c:v>1828.00000000001</c:v>
                </c:pt>
                <c:pt idx="116">
                  <c:v>1835.20000000001</c:v>
                </c:pt>
                <c:pt idx="117">
                  <c:v>1842.40000000001</c:v>
                </c:pt>
                <c:pt idx="118">
                  <c:v>1849.6</c:v>
                </c:pt>
                <c:pt idx="119">
                  <c:v>1856.8</c:v>
                </c:pt>
                <c:pt idx="120">
                  <c:v>1864.00000000001</c:v>
                </c:pt>
                <c:pt idx="121">
                  <c:v>1871.20000000001</c:v>
                </c:pt>
                <c:pt idx="122">
                  <c:v>1878.40000000001</c:v>
                </c:pt>
                <c:pt idx="123">
                  <c:v>1885.60000000001</c:v>
                </c:pt>
                <c:pt idx="124">
                  <c:v>1892.80000000001</c:v>
                </c:pt>
                <c:pt idx="125">
                  <c:v>1900.00000000001</c:v>
                </c:pt>
                <c:pt idx="126">
                  <c:v>1907.20000000001</c:v>
                </c:pt>
                <c:pt idx="127">
                  <c:v>1914.40000000001</c:v>
                </c:pt>
                <c:pt idx="128">
                  <c:v>1921.60000000001</c:v>
                </c:pt>
                <c:pt idx="129">
                  <c:v>1928.80000000001</c:v>
                </c:pt>
                <c:pt idx="130">
                  <c:v>1936.00000000001</c:v>
                </c:pt>
                <c:pt idx="131">
                  <c:v>1943.20000000001</c:v>
                </c:pt>
                <c:pt idx="132">
                  <c:v>1950.40000000001</c:v>
                </c:pt>
                <c:pt idx="133">
                  <c:v>1957.60000000001</c:v>
                </c:pt>
                <c:pt idx="134">
                  <c:v>1964.80000000001</c:v>
                </c:pt>
                <c:pt idx="135">
                  <c:v>1972.00000000001</c:v>
                </c:pt>
                <c:pt idx="136">
                  <c:v>1979.20000000001</c:v>
                </c:pt>
                <c:pt idx="137">
                  <c:v>1986.40000000001</c:v>
                </c:pt>
                <c:pt idx="138">
                  <c:v>1993.60000000001</c:v>
                </c:pt>
                <c:pt idx="139">
                  <c:v>2000.80000000001</c:v>
                </c:pt>
                <c:pt idx="140">
                  <c:v>2008.00000000001</c:v>
                </c:pt>
                <c:pt idx="141">
                  <c:v>2015.20000000001</c:v>
                </c:pt>
                <c:pt idx="142">
                  <c:v>2022.40000000001</c:v>
                </c:pt>
                <c:pt idx="143">
                  <c:v>2029.60000000001</c:v>
                </c:pt>
                <c:pt idx="144">
                  <c:v>2036.80000000001</c:v>
                </c:pt>
                <c:pt idx="145">
                  <c:v>2044.00000000001</c:v>
                </c:pt>
                <c:pt idx="146">
                  <c:v>2051.20000000001</c:v>
                </c:pt>
                <c:pt idx="147">
                  <c:v>2058.40000000001</c:v>
                </c:pt>
                <c:pt idx="148">
                  <c:v>2065.60000000001</c:v>
                </c:pt>
                <c:pt idx="149">
                  <c:v>2072.80000000001</c:v>
                </c:pt>
                <c:pt idx="150">
                  <c:v>2080.00000000001</c:v>
                </c:pt>
                <c:pt idx="151">
                  <c:v>2087.20000000001</c:v>
                </c:pt>
                <c:pt idx="152">
                  <c:v>2094.40000000001</c:v>
                </c:pt>
                <c:pt idx="153">
                  <c:v>2101.60000000001</c:v>
                </c:pt>
                <c:pt idx="154">
                  <c:v>2108.80000000001</c:v>
                </c:pt>
                <c:pt idx="155">
                  <c:v>2116.00000000001</c:v>
                </c:pt>
                <c:pt idx="156">
                  <c:v>2123.20000000001</c:v>
                </c:pt>
                <c:pt idx="157">
                  <c:v>2130.40000000001</c:v>
                </c:pt>
                <c:pt idx="158">
                  <c:v>2137.60000000001</c:v>
                </c:pt>
                <c:pt idx="159">
                  <c:v>2144.80000000001</c:v>
                </c:pt>
                <c:pt idx="160">
                  <c:v>2152.00000000001</c:v>
                </c:pt>
                <c:pt idx="161">
                  <c:v>2159.20000000001</c:v>
                </c:pt>
                <c:pt idx="162">
                  <c:v>2166.40000000001</c:v>
                </c:pt>
                <c:pt idx="163">
                  <c:v>2173.60000000001</c:v>
                </c:pt>
                <c:pt idx="164">
                  <c:v>2180.80000000001</c:v>
                </c:pt>
                <c:pt idx="165">
                  <c:v>2188.00000000001</c:v>
                </c:pt>
                <c:pt idx="166">
                  <c:v>2195.20000000001</c:v>
                </c:pt>
                <c:pt idx="167">
                  <c:v>2202.40000000001</c:v>
                </c:pt>
                <c:pt idx="168">
                  <c:v>2209.60000000001</c:v>
                </c:pt>
                <c:pt idx="169">
                  <c:v>2216.80000000001</c:v>
                </c:pt>
                <c:pt idx="170">
                  <c:v>2224.00000000001</c:v>
                </c:pt>
                <c:pt idx="171">
                  <c:v>2231.20000000001</c:v>
                </c:pt>
                <c:pt idx="172">
                  <c:v>2238.40000000001</c:v>
                </c:pt>
                <c:pt idx="173">
                  <c:v>2245.60000000001</c:v>
                </c:pt>
                <c:pt idx="174">
                  <c:v>2252.80000000001</c:v>
                </c:pt>
                <c:pt idx="175">
                  <c:v>2260.00000000001</c:v>
                </c:pt>
                <c:pt idx="176">
                  <c:v>2267.20000000001</c:v>
                </c:pt>
                <c:pt idx="177">
                  <c:v>2274.40000000001</c:v>
                </c:pt>
                <c:pt idx="178">
                  <c:v>2281.60000000001</c:v>
                </c:pt>
                <c:pt idx="179">
                  <c:v>2288.80000000001</c:v>
                </c:pt>
                <c:pt idx="180">
                  <c:v>2296.00000000001</c:v>
                </c:pt>
                <c:pt idx="181">
                  <c:v>2303.20000000001</c:v>
                </c:pt>
                <c:pt idx="182">
                  <c:v>2310.40000000001</c:v>
                </c:pt>
                <c:pt idx="183">
                  <c:v>2317.60000000001</c:v>
                </c:pt>
                <c:pt idx="184">
                  <c:v>2324.80000000001</c:v>
                </c:pt>
                <c:pt idx="185">
                  <c:v>2332.00000000001</c:v>
                </c:pt>
                <c:pt idx="186">
                  <c:v>2339.20000000001</c:v>
                </c:pt>
                <c:pt idx="187">
                  <c:v>2346.40000000001</c:v>
                </c:pt>
                <c:pt idx="188">
                  <c:v>2353.60000000001</c:v>
                </c:pt>
                <c:pt idx="189">
                  <c:v>2360.80000000001</c:v>
                </c:pt>
                <c:pt idx="190">
                  <c:v>2368.00000000001</c:v>
                </c:pt>
                <c:pt idx="191">
                  <c:v>2375.20000000001</c:v>
                </c:pt>
                <c:pt idx="192">
                  <c:v>2382.40000000001</c:v>
                </c:pt>
                <c:pt idx="193">
                  <c:v>2389.60000000001</c:v>
                </c:pt>
                <c:pt idx="194">
                  <c:v>2396.80000000001</c:v>
                </c:pt>
                <c:pt idx="195">
                  <c:v>2404.00000000001</c:v>
                </c:pt>
                <c:pt idx="196">
                  <c:v>2411.20000000001</c:v>
                </c:pt>
                <c:pt idx="197">
                  <c:v>2418.40000000001</c:v>
                </c:pt>
                <c:pt idx="198">
                  <c:v>2425.60000000001</c:v>
                </c:pt>
                <c:pt idx="199">
                  <c:v>2432.80000000001</c:v>
                </c:pt>
                <c:pt idx="200">
                  <c:v>2440.00000000001</c:v>
                </c:pt>
                <c:pt idx="201">
                  <c:v>2447.20000000001</c:v>
                </c:pt>
                <c:pt idx="202">
                  <c:v>2454.40000000001</c:v>
                </c:pt>
                <c:pt idx="203">
                  <c:v>2461.60000000001</c:v>
                </c:pt>
                <c:pt idx="204">
                  <c:v>2468.80000000001</c:v>
                </c:pt>
                <c:pt idx="205">
                  <c:v>2476.00000000001</c:v>
                </c:pt>
                <c:pt idx="206">
                  <c:v>2483.20000000001</c:v>
                </c:pt>
                <c:pt idx="207">
                  <c:v>2500.0</c:v>
                </c:pt>
              </c:numCache>
            </c:numRef>
          </c:xVal>
          <c:yVal>
            <c:numRef>
              <c:f>'Fig6 Data'!$AC$4:$AC$211</c:f>
              <c:numCache>
                <c:formatCode>0.00</c:formatCode>
                <c:ptCount val="208"/>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pt idx="32">
                  <c:v>0.8</c:v>
                </c:pt>
                <c:pt idx="33">
                  <c:v>0.8</c:v>
                </c:pt>
                <c:pt idx="34">
                  <c:v>0.8</c:v>
                </c:pt>
                <c:pt idx="35">
                  <c:v>0.8</c:v>
                </c:pt>
                <c:pt idx="36">
                  <c:v>0.8</c:v>
                </c:pt>
                <c:pt idx="37">
                  <c:v>0.8</c:v>
                </c:pt>
                <c:pt idx="38">
                  <c:v>0.8</c:v>
                </c:pt>
                <c:pt idx="39">
                  <c:v>0.8</c:v>
                </c:pt>
                <c:pt idx="40">
                  <c:v>0.8</c:v>
                </c:pt>
                <c:pt idx="41">
                  <c:v>0.8</c:v>
                </c:pt>
                <c:pt idx="42">
                  <c:v>0.8</c:v>
                </c:pt>
                <c:pt idx="43">
                  <c:v>0.8</c:v>
                </c:pt>
                <c:pt idx="44">
                  <c:v>0.8</c:v>
                </c:pt>
                <c:pt idx="45">
                  <c:v>0.8</c:v>
                </c:pt>
                <c:pt idx="46">
                  <c:v>0.8</c:v>
                </c:pt>
                <c:pt idx="47">
                  <c:v>0.8</c:v>
                </c:pt>
                <c:pt idx="48">
                  <c:v>0.8</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c:v>
                </c:pt>
                <c:pt idx="70">
                  <c:v>0.8</c:v>
                </c:pt>
                <c:pt idx="71">
                  <c:v>0.8</c:v>
                </c:pt>
                <c:pt idx="72">
                  <c:v>0.8</c:v>
                </c:pt>
                <c:pt idx="73">
                  <c:v>0.8</c:v>
                </c:pt>
                <c:pt idx="74">
                  <c:v>0.8</c:v>
                </c:pt>
                <c:pt idx="75">
                  <c:v>0.8</c:v>
                </c:pt>
                <c:pt idx="76">
                  <c:v>0.8</c:v>
                </c:pt>
                <c:pt idx="77">
                  <c:v>0.8</c:v>
                </c:pt>
                <c:pt idx="78">
                  <c:v>0.8</c:v>
                </c:pt>
                <c:pt idx="79">
                  <c:v>0.8</c:v>
                </c:pt>
                <c:pt idx="80">
                  <c:v>0.8</c:v>
                </c:pt>
                <c:pt idx="81">
                  <c:v>0.8</c:v>
                </c:pt>
                <c:pt idx="82">
                  <c:v>0.8</c:v>
                </c:pt>
                <c:pt idx="83">
                  <c:v>0.8</c:v>
                </c:pt>
                <c:pt idx="84">
                  <c:v>0.8</c:v>
                </c:pt>
                <c:pt idx="85">
                  <c:v>0.8</c:v>
                </c:pt>
                <c:pt idx="86">
                  <c:v>0.8</c:v>
                </c:pt>
                <c:pt idx="87">
                  <c:v>0.8</c:v>
                </c:pt>
                <c:pt idx="88">
                  <c:v>0.8</c:v>
                </c:pt>
                <c:pt idx="89">
                  <c:v>0.8</c:v>
                </c:pt>
                <c:pt idx="90">
                  <c:v>0.8</c:v>
                </c:pt>
                <c:pt idx="91">
                  <c:v>0.8</c:v>
                </c:pt>
                <c:pt idx="92">
                  <c:v>0.8</c:v>
                </c:pt>
                <c:pt idx="93">
                  <c:v>0.8</c:v>
                </c:pt>
                <c:pt idx="94">
                  <c:v>0.8</c:v>
                </c:pt>
                <c:pt idx="95">
                  <c:v>0.8</c:v>
                </c:pt>
                <c:pt idx="96">
                  <c:v>0.8</c:v>
                </c:pt>
                <c:pt idx="97">
                  <c:v>0.8</c:v>
                </c:pt>
                <c:pt idx="98">
                  <c:v>0.8</c:v>
                </c:pt>
                <c:pt idx="99">
                  <c:v>0.8</c:v>
                </c:pt>
                <c:pt idx="100">
                  <c:v>0.8</c:v>
                </c:pt>
                <c:pt idx="101">
                  <c:v>0.8</c:v>
                </c:pt>
                <c:pt idx="102">
                  <c:v>0.8</c:v>
                </c:pt>
                <c:pt idx="103">
                  <c:v>0.8</c:v>
                </c:pt>
                <c:pt idx="104">
                  <c:v>0.8</c:v>
                </c:pt>
                <c:pt idx="105">
                  <c:v>0.8</c:v>
                </c:pt>
                <c:pt idx="106">
                  <c:v>0.8</c:v>
                </c:pt>
                <c:pt idx="107">
                  <c:v>0.8</c:v>
                </c:pt>
                <c:pt idx="108">
                  <c:v>0.8</c:v>
                </c:pt>
                <c:pt idx="109">
                  <c:v>0.8</c:v>
                </c:pt>
                <c:pt idx="110">
                  <c:v>0.8</c:v>
                </c:pt>
                <c:pt idx="111">
                  <c:v>0.8</c:v>
                </c:pt>
                <c:pt idx="112">
                  <c:v>0.8</c:v>
                </c:pt>
                <c:pt idx="113">
                  <c:v>0.8</c:v>
                </c:pt>
                <c:pt idx="114">
                  <c:v>0.8</c:v>
                </c:pt>
                <c:pt idx="115">
                  <c:v>0.8</c:v>
                </c:pt>
                <c:pt idx="116">
                  <c:v>0.8</c:v>
                </c:pt>
                <c:pt idx="117">
                  <c:v>0.8</c:v>
                </c:pt>
                <c:pt idx="118">
                  <c:v>0.8</c:v>
                </c:pt>
                <c:pt idx="119">
                  <c:v>0.8</c:v>
                </c:pt>
                <c:pt idx="120">
                  <c:v>0.8</c:v>
                </c:pt>
                <c:pt idx="121">
                  <c:v>0.8</c:v>
                </c:pt>
                <c:pt idx="122">
                  <c:v>0.8</c:v>
                </c:pt>
                <c:pt idx="123">
                  <c:v>0.8</c:v>
                </c:pt>
                <c:pt idx="124">
                  <c:v>0.8</c:v>
                </c:pt>
                <c:pt idx="125">
                  <c:v>0.8</c:v>
                </c:pt>
                <c:pt idx="126">
                  <c:v>0.8</c:v>
                </c:pt>
                <c:pt idx="127">
                  <c:v>0.8</c:v>
                </c:pt>
                <c:pt idx="128">
                  <c:v>0.8</c:v>
                </c:pt>
                <c:pt idx="129">
                  <c:v>0.8</c:v>
                </c:pt>
                <c:pt idx="130">
                  <c:v>0.8</c:v>
                </c:pt>
                <c:pt idx="131">
                  <c:v>0.8</c:v>
                </c:pt>
                <c:pt idx="132">
                  <c:v>0.8</c:v>
                </c:pt>
                <c:pt idx="133">
                  <c:v>0.8</c:v>
                </c:pt>
                <c:pt idx="134">
                  <c:v>0.8</c:v>
                </c:pt>
                <c:pt idx="135">
                  <c:v>0.8</c:v>
                </c:pt>
                <c:pt idx="136">
                  <c:v>0.8</c:v>
                </c:pt>
                <c:pt idx="137">
                  <c:v>0.8</c:v>
                </c:pt>
                <c:pt idx="138">
                  <c:v>0.8</c:v>
                </c:pt>
                <c:pt idx="139">
                  <c:v>0.8</c:v>
                </c:pt>
                <c:pt idx="140">
                  <c:v>0.8</c:v>
                </c:pt>
                <c:pt idx="141">
                  <c:v>0.8</c:v>
                </c:pt>
                <c:pt idx="142">
                  <c:v>0.8</c:v>
                </c:pt>
                <c:pt idx="143">
                  <c:v>0.8</c:v>
                </c:pt>
                <c:pt idx="144">
                  <c:v>0.8</c:v>
                </c:pt>
                <c:pt idx="145">
                  <c:v>0.8</c:v>
                </c:pt>
                <c:pt idx="146">
                  <c:v>0.8</c:v>
                </c:pt>
                <c:pt idx="147">
                  <c:v>0.8</c:v>
                </c:pt>
                <c:pt idx="148">
                  <c:v>0.8</c:v>
                </c:pt>
                <c:pt idx="149">
                  <c:v>0.8</c:v>
                </c:pt>
                <c:pt idx="150">
                  <c:v>0.8</c:v>
                </c:pt>
                <c:pt idx="151">
                  <c:v>0.8</c:v>
                </c:pt>
                <c:pt idx="152">
                  <c:v>0.8</c:v>
                </c:pt>
                <c:pt idx="153">
                  <c:v>0.8</c:v>
                </c:pt>
                <c:pt idx="154">
                  <c:v>0.8</c:v>
                </c:pt>
                <c:pt idx="155">
                  <c:v>0.8</c:v>
                </c:pt>
                <c:pt idx="156">
                  <c:v>0.8</c:v>
                </c:pt>
                <c:pt idx="157">
                  <c:v>0.8</c:v>
                </c:pt>
                <c:pt idx="158">
                  <c:v>0.8</c:v>
                </c:pt>
                <c:pt idx="159">
                  <c:v>0.8</c:v>
                </c:pt>
                <c:pt idx="160">
                  <c:v>0.8</c:v>
                </c:pt>
                <c:pt idx="161">
                  <c:v>0.8</c:v>
                </c:pt>
                <c:pt idx="162">
                  <c:v>0.8</c:v>
                </c:pt>
                <c:pt idx="163">
                  <c:v>0.8</c:v>
                </c:pt>
                <c:pt idx="164">
                  <c:v>0.8</c:v>
                </c:pt>
                <c:pt idx="165">
                  <c:v>0.8</c:v>
                </c:pt>
                <c:pt idx="166">
                  <c:v>0.8</c:v>
                </c:pt>
                <c:pt idx="167">
                  <c:v>0.8</c:v>
                </c:pt>
                <c:pt idx="168">
                  <c:v>0.8</c:v>
                </c:pt>
                <c:pt idx="169">
                  <c:v>0.8</c:v>
                </c:pt>
                <c:pt idx="170">
                  <c:v>0.8</c:v>
                </c:pt>
                <c:pt idx="171">
                  <c:v>0.8</c:v>
                </c:pt>
                <c:pt idx="172">
                  <c:v>0.8</c:v>
                </c:pt>
                <c:pt idx="173">
                  <c:v>0.8</c:v>
                </c:pt>
                <c:pt idx="174">
                  <c:v>0.8</c:v>
                </c:pt>
                <c:pt idx="175">
                  <c:v>0.8</c:v>
                </c:pt>
                <c:pt idx="176">
                  <c:v>0.8</c:v>
                </c:pt>
                <c:pt idx="177">
                  <c:v>0.8</c:v>
                </c:pt>
                <c:pt idx="178">
                  <c:v>0.8</c:v>
                </c:pt>
                <c:pt idx="179">
                  <c:v>0.8</c:v>
                </c:pt>
                <c:pt idx="180">
                  <c:v>0.8</c:v>
                </c:pt>
                <c:pt idx="181">
                  <c:v>0.8</c:v>
                </c:pt>
                <c:pt idx="182">
                  <c:v>0.8</c:v>
                </c:pt>
                <c:pt idx="183">
                  <c:v>0.8</c:v>
                </c:pt>
                <c:pt idx="184">
                  <c:v>0.8</c:v>
                </c:pt>
                <c:pt idx="185">
                  <c:v>0.8</c:v>
                </c:pt>
                <c:pt idx="186">
                  <c:v>0.8</c:v>
                </c:pt>
                <c:pt idx="187">
                  <c:v>0.8</c:v>
                </c:pt>
                <c:pt idx="188">
                  <c:v>0.8</c:v>
                </c:pt>
                <c:pt idx="189">
                  <c:v>0.8</c:v>
                </c:pt>
                <c:pt idx="190">
                  <c:v>0.8</c:v>
                </c:pt>
                <c:pt idx="191">
                  <c:v>0.8</c:v>
                </c:pt>
                <c:pt idx="192">
                  <c:v>0.8</c:v>
                </c:pt>
                <c:pt idx="193">
                  <c:v>0.8</c:v>
                </c:pt>
                <c:pt idx="194">
                  <c:v>0.8</c:v>
                </c:pt>
                <c:pt idx="195">
                  <c:v>0.8</c:v>
                </c:pt>
                <c:pt idx="196">
                  <c:v>0.8</c:v>
                </c:pt>
                <c:pt idx="197">
                  <c:v>0.8</c:v>
                </c:pt>
                <c:pt idx="198">
                  <c:v>0.8</c:v>
                </c:pt>
                <c:pt idx="199">
                  <c:v>0.8</c:v>
                </c:pt>
                <c:pt idx="200">
                  <c:v>0.8</c:v>
                </c:pt>
                <c:pt idx="201">
                  <c:v>0.8</c:v>
                </c:pt>
                <c:pt idx="202">
                  <c:v>0.8</c:v>
                </c:pt>
                <c:pt idx="203">
                  <c:v>0.8</c:v>
                </c:pt>
                <c:pt idx="204">
                  <c:v>0.8</c:v>
                </c:pt>
                <c:pt idx="205">
                  <c:v>0.8</c:v>
                </c:pt>
                <c:pt idx="206">
                  <c:v>0.8</c:v>
                </c:pt>
                <c:pt idx="207">
                  <c:v>0.8</c:v>
                </c:pt>
              </c:numCache>
            </c:numRef>
          </c:yVal>
          <c:smooth val="1"/>
        </c:ser>
        <c:ser>
          <c:idx val="11"/>
          <c:order val="11"/>
          <c:tx>
            <c:v>Benchmark (no effect)</c:v>
          </c:tx>
          <c:spPr>
            <a:ln w="15875">
              <a:solidFill>
                <a:srgbClr val="C00000"/>
              </a:solidFill>
            </a:ln>
          </c:spPr>
          <c:marker>
            <c:symbol val="none"/>
          </c:marker>
          <c:xVal>
            <c:numRef>
              <c:f>'Fig6 Data'!$W$4:$W$211</c:f>
              <c:numCache>
                <c:formatCode>General</c:formatCode>
                <c:ptCount val="208"/>
                <c:pt idx="0">
                  <c:v>1521.0</c:v>
                </c:pt>
                <c:pt idx="1">
                  <c:v>1521.0</c:v>
                </c:pt>
                <c:pt idx="2">
                  <c:v>1521.0</c:v>
                </c:pt>
                <c:pt idx="3">
                  <c:v>1521.0</c:v>
                </c:pt>
                <c:pt idx="4">
                  <c:v>1521.0</c:v>
                </c:pt>
                <c:pt idx="5">
                  <c:v>1521.0</c:v>
                </c:pt>
                <c:pt idx="6">
                  <c:v>1521.0</c:v>
                </c:pt>
                <c:pt idx="7">
                  <c:v>1521.0</c:v>
                </c:pt>
                <c:pt idx="8">
                  <c:v>1521.0</c:v>
                </c:pt>
                <c:pt idx="9">
                  <c:v>1521.0</c:v>
                </c:pt>
                <c:pt idx="10">
                  <c:v>1521.0</c:v>
                </c:pt>
                <c:pt idx="11">
                  <c:v>1521.0</c:v>
                </c:pt>
                <c:pt idx="12">
                  <c:v>1521.0</c:v>
                </c:pt>
                <c:pt idx="13">
                  <c:v>1521.0</c:v>
                </c:pt>
                <c:pt idx="14">
                  <c:v>1521.0</c:v>
                </c:pt>
                <c:pt idx="15">
                  <c:v>1521.0</c:v>
                </c:pt>
                <c:pt idx="16">
                  <c:v>1521.0</c:v>
                </c:pt>
                <c:pt idx="17">
                  <c:v>1521.0</c:v>
                </c:pt>
                <c:pt idx="18">
                  <c:v>1521.0</c:v>
                </c:pt>
                <c:pt idx="19">
                  <c:v>1521.0</c:v>
                </c:pt>
                <c:pt idx="20">
                  <c:v>1521.0</c:v>
                </c:pt>
                <c:pt idx="21">
                  <c:v>1521.0</c:v>
                </c:pt>
                <c:pt idx="22">
                  <c:v>1521.0</c:v>
                </c:pt>
                <c:pt idx="23">
                  <c:v>1521.0</c:v>
                </c:pt>
                <c:pt idx="24">
                  <c:v>1521.0</c:v>
                </c:pt>
                <c:pt idx="25">
                  <c:v>1521.0</c:v>
                </c:pt>
                <c:pt idx="26">
                  <c:v>1521.0</c:v>
                </c:pt>
                <c:pt idx="27">
                  <c:v>1521.0</c:v>
                </c:pt>
                <c:pt idx="28">
                  <c:v>1521.0</c:v>
                </c:pt>
                <c:pt idx="29">
                  <c:v>1521.0</c:v>
                </c:pt>
                <c:pt idx="30">
                  <c:v>1521.0</c:v>
                </c:pt>
                <c:pt idx="31">
                  <c:v>1521.0</c:v>
                </c:pt>
                <c:pt idx="32">
                  <c:v>1521.0</c:v>
                </c:pt>
                <c:pt idx="33">
                  <c:v>1521.0</c:v>
                </c:pt>
                <c:pt idx="34">
                  <c:v>1521.0</c:v>
                </c:pt>
                <c:pt idx="35">
                  <c:v>1521.0</c:v>
                </c:pt>
                <c:pt idx="36">
                  <c:v>1521.0</c:v>
                </c:pt>
                <c:pt idx="37">
                  <c:v>1521.0</c:v>
                </c:pt>
                <c:pt idx="38">
                  <c:v>1521.0</c:v>
                </c:pt>
                <c:pt idx="39">
                  <c:v>1521.0</c:v>
                </c:pt>
                <c:pt idx="40">
                  <c:v>1521.0</c:v>
                </c:pt>
                <c:pt idx="41">
                  <c:v>1521.0</c:v>
                </c:pt>
                <c:pt idx="42">
                  <c:v>1521.0</c:v>
                </c:pt>
                <c:pt idx="43">
                  <c:v>1521.0</c:v>
                </c:pt>
                <c:pt idx="44">
                  <c:v>1521.0</c:v>
                </c:pt>
                <c:pt idx="45">
                  <c:v>1521.0</c:v>
                </c:pt>
                <c:pt idx="46">
                  <c:v>1521.0</c:v>
                </c:pt>
                <c:pt idx="47">
                  <c:v>1521.0</c:v>
                </c:pt>
                <c:pt idx="48">
                  <c:v>1521.0</c:v>
                </c:pt>
                <c:pt idx="49">
                  <c:v>1521.0</c:v>
                </c:pt>
                <c:pt idx="50">
                  <c:v>1521.0</c:v>
                </c:pt>
                <c:pt idx="51">
                  <c:v>1521.0</c:v>
                </c:pt>
                <c:pt idx="52">
                  <c:v>1521.0</c:v>
                </c:pt>
                <c:pt idx="53">
                  <c:v>1521.0</c:v>
                </c:pt>
                <c:pt idx="54">
                  <c:v>1521.0</c:v>
                </c:pt>
                <c:pt idx="55">
                  <c:v>1521.0</c:v>
                </c:pt>
                <c:pt idx="56">
                  <c:v>1521.0</c:v>
                </c:pt>
                <c:pt idx="57">
                  <c:v>1521.0</c:v>
                </c:pt>
                <c:pt idx="58">
                  <c:v>1521.0</c:v>
                </c:pt>
                <c:pt idx="59">
                  <c:v>1521.0</c:v>
                </c:pt>
                <c:pt idx="60">
                  <c:v>1521.0</c:v>
                </c:pt>
                <c:pt idx="61">
                  <c:v>1521.0</c:v>
                </c:pt>
                <c:pt idx="62">
                  <c:v>1521.0</c:v>
                </c:pt>
                <c:pt idx="63">
                  <c:v>1521.0</c:v>
                </c:pt>
                <c:pt idx="64">
                  <c:v>1521.0</c:v>
                </c:pt>
                <c:pt idx="65">
                  <c:v>1521.0</c:v>
                </c:pt>
                <c:pt idx="66">
                  <c:v>1521.0</c:v>
                </c:pt>
                <c:pt idx="67">
                  <c:v>1521.0</c:v>
                </c:pt>
                <c:pt idx="68">
                  <c:v>1521.0</c:v>
                </c:pt>
                <c:pt idx="69">
                  <c:v>1521.0</c:v>
                </c:pt>
                <c:pt idx="70">
                  <c:v>1521.0</c:v>
                </c:pt>
                <c:pt idx="71">
                  <c:v>1521.0</c:v>
                </c:pt>
                <c:pt idx="72">
                  <c:v>1521.0</c:v>
                </c:pt>
                <c:pt idx="73">
                  <c:v>1521.0</c:v>
                </c:pt>
                <c:pt idx="74">
                  <c:v>1521.0</c:v>
                </c:pt>
                <c:pt idx="75">
                  <c:v>1521.0</c:v>
                </c:pt>
                <c:pt idx="76">
                  <c:v>1521.0</c:v>
                </c:pt>
                <c:pt idx="77">
                  <c:v>1521.0</c:v>
                </c:pt>
                <c:pt idx="78">
                  <c:v>1521.0</c:v>
                </c:pt>
                <c:pt idx="79">
                  <c:v>1521.0</c:v>
                </c:pt>
                <c:pt idx="80">
                  <c:v>1521.0</c:v>
                </c:pt>
                <c:pt idx="81">
                  <c:v>1521.0</c:v>
                </c:pt>
                <c:pt idx="82">
                  <c:v>1521.0</c:v>
                </c:pt>
                <c:pt idx="83">
                  <c:v>1521.0</c:v>
                </c:pt>
                <c:pt idx="84">
                  <c:v>1521.0</c:v>
                </c:pt>
                <c:pt idx="85">
                  <c:v>1521.0</c:v>
                </c:pt>
                <c:pt idx="86">
                  <c:v>1521.0</c:v>
                </c:pt>
                <c:pt idx="87">
                  <c:v>1521.0</c:v>
                </c:pt>
                <c:pt idx="88">
                  <c:v>1521.0</c:v>
                </c:pt>
                <c:pt idx="89">
                  <c:v>1521.0</c:v>
                </c:pt>
                <c:pt idx="90">
                  <c:v>1521.0</c:v>
                </c:pt>
                <c:pt idx="91">
                  <c:v>1521.0</c:v>
                </c:pt>
                <c:pt idx="92">
                  <c:v>1521.0</c:v>
                </c:pt>
                <c:pt idx="93">
                  <c:v>1521.0</c:v>
                </c:pt>
                <c:pt idx="94">
                  <c:v>1521.0</c:v>
                </c:pt>
                <c:pt idx="95">
                  <c:v>1521.0</c:v>
                </c:pt>
                <c:pt idx="96">
                  <c:v>1521.0</c:v>
                </c:pt>
                <c:pt idx="97">
                  <c:v>1521.0</c:v>
                </c:pt>
                <c:pt idx="98">
                  <c:v>1521.0</c:v>
                </c:pt>
                <c:pt idx="99">
                  <c:v>1521.0</c:v>
                </c:pt>
                <c:pt idx="100">
                  <c:v>1521.0</c:v>
                </c:pt>
                <c:pt idx="101">
                  <c:v>1521.0</c:v>
                </c:pt>
                <c:pt idx="102">
                  <c:v>1521.0</c:v>
                </c:pt>
                <c:pt idx="103">
                  <c:v>1521.0</c:v>
                </c:pt>
                <c:pt idx="104">
                  <c:v>1521.0</c:v>
                </c:pt>
                <c:pt idx="105">
                  <c:v>1521.0</c:v>
                </c:pt>
                <c:pt idx="106">
                  <c:v>1521.0</c:v>
                </c:pt>
                <c:pt idx="107">
                  <c:v>1521.0</c:v>
                </c:pt>
                <c:pt idx="108">
                  <c:v>1521.0</c:v>
                </c:pt>
                <c:pt idx="109">
                  <c:v>1521.0</c:v>
                </c:pt>
                <c:pt idx="110">
                  <c:v>1521.0</c:v>
                </c:pt>
                <c:pt idx="111">
                  <c:v>1521.0</c:v>
                </c:pt>
                <c:pt idx="112">
                  <c:v>1521.0</c:v>
                </c:pt>
                <c:pt idx="113">
                  <c:v>1521.0</c:v>
                </c:pt>
                <c:pt idx="114">
                  <c:v>1521.0</c:v>
                </c:pt>
                <c:pt idx="115">
                  <c:v>1521.0</c:v>
                </c:pt>
                <c:pt idx="116">
                  <c:v>1521.0</c:v>
                </c:pt>
                <c:pt idx="117">
                  <c:v>1521.0</c:v>
                </c:pt>
                <c:pt idx="118">
                  <c:v>1521.0</c:v>
                </c:pt>
                <c:pt idx="119">
                  <c:v>1521.0</c:v>
                </c:pt>
                <c:pt idx="120">
                  <c:v>1521.0</c:v>
                </c:pt>
                <c:pt idx="121">
                  <c:v>1521.0</c:v>
                </c:pt>
                <c:pt idx="122">
                  <c:v>1521.0</c:v>
                </c:pt>
                <c:pt idx="123">
                  <c:v>1521.0</c:v>
                </c:pt>
                <c:pt idx="124">
                  <c:v>1521.0</c:v>
                </c:pt>
                <c:pt idx="125">
                  <c:v>1521.0</c:v>
                </c:pt>
                <c:pt idx="126">
                  <c:v>1521.0</c:v>
                </c:pt>
                <c:pt idx="127">
                  <c:v>1521.0</c:v>
                </c:pt>
                <c:pt idx="128">
                  <c:v>1521.0</c:v>
                </c:pt>
                <c:pt idx="129">
                  <c:v>1521.0</c:v>
                </c:pt>
                <c:pt idx="130">
                  <c:v>1521.0</c:v>
                </c:pt>
                <c:pt idx="131">
                  <c:v>1521.0</c:v>
                </c:pt>
                <c:pt idx="132">
                  <c:v>1521.0</c:v>
                </c:pt>
                <c:pt idx="133">
                  <c:v>1521.0</c:v>
                </c:pt>
                <c:pt idx="134">
                  <c:v>1521.0</c:v>
                </c:pt>
                <c:pt idx="135">
                  <c:v>1521.0</c:v>
                </c:pt>
                <c:pt idx="136">
                  <c:v>1521.0</c:v>
                </c:pt>
                <c:pt idx="137">
                  <c:v>1521.0</c:v>
                </c:pt>
                <c:pt idx="138">
                  <c:v>1521.0</c:v>
                </c:pt>
                <c:pt idx="139">
                  <c:v>1521.0</c:v>
                </c:pt>
                <c:pt idx="140">
                  <c:v>1521.0</c:v>
                </c:pt>
                <c:pt idx="141">
                  <c:v>1521.0</c:v>
                </c:pt>
                <c:pt idx="142">
                  <c:v>1521.0</c:v>
                </c:pt>
                <c:pt idx="143">
                  <c:v>1521.0</c:v>
                </c:pt>
                <c:pt idx="144">
                  <c:v>1521.0</c:v>
                </c:pt>
                <c:pt idx="145">
                  <c:v>1521.0</c:v>
                </c:pt>
                <c:pt idx="146">
                  <c:v>1521.0</c:v>
                </c:pt>
                <c:pt idx="147">
                  <c:v>1521.0</c:v>
                </c:pt>
                <c:pt idx="148">
                  <c:v>1521.0</c:v>
                </c:pt>
                <c:pt idx="149">
                  <c:v>1521.0</c:v>
                </c:pt>
                <c:pt idx="150">
                  <c:v>1521.0</c:v>
                </c:pt>
                <c:pt idx="151">
                  <c:v>1521.0</c:v>
                </c:pt>
                <c:pt idx="152">
                  <c:v>1521.0</c:v>
                </c:pt>
                <c:pt idx="153">
                  <c:v>1521.0</c:v>
                </c:pt>
                <c:pt idx="154">
                  <c:v>1521.0</c:v>
                </c:pt>
                <c:pt idx="155">
                  <c:v>1521.0</c:v>
                </c:pt>
                <c:pt idx="156">
                  <c:v>1521.0</c:v>
                </c:pt>
                <c:pt idx="157">
                  <c:v>1521.0</c:v>
                </c:pt>
                <c:pt idx="158">
                  <c:v>1521.0</c:v>
                </c:pt>
                <c:pt idx="159">
                  <c:v>1521.0</c:v>
                </c:pt>
                <c:pt idx="160">
                  <c:v>1521.0</c:v>
                </c:pt>
                <c:pt idx="161">
                  <c:v>1521.0</c:v>
                </c:pt>
                <c:pt idx="162">
                  <c:v>1521.0</c:v>
                </c:pt>
                <c:pt idx="163">
                  <c:v>1521.0</c:v>
                </c:pt>
                <c:pt idx="164">
                  <c:v>1521.0</c:v>
                </c:pt>
                <c:pt idx="165">
                  <c:v>1521.0</c:v>
                </c:pt>
                <c:pt idx="166">
                  <c:v>1521.0</c:v>
                </c:pt>
                <c:pt idx="167">
                  <c:v>1521.0</c:v>
                </c:pt>
                <c:pt idx="168">
                  <c:v>1521.0</c:v>
                </c:pt>
                <c:pt idx="169">
                  <c:v>1521.0</c:v>
                </c:pt>
                <c:pt idx="170">
                  <c:v>1521.0</c:v>
                </c:pt>
                <c:pt idx="171">
                  <c:v>1521.0</c:v>
                </c:pt>
                <c:pt idx="172">
                  <c:v>1521.0</c:v>
                </c:pt>
                <c:pt idx="173">
                  <c:v>1521.0</c:v>
                </c:pt>
                <c:pt idx="174">
                  <c:v>1521.0</c:v>
                </c:pt>
                <c:pt idx="175">
                  <c:v>1521.0</c:v>
                </c:pt>
                <c:pt idx="176">
                  <c:v>1521.0</c:v>
                </c:pt>
                <c:pt idx="177">
                  <c:v>1521.0</c:v>
                </c:pt>
                <c:pt idx="178">
                  <c:v>1521.0</c:v>
                </c:pt>
                <c:pt idx="179">
                  <c:v>1521.0</c:v>
                </c:pt>
                <c:pt idx="180">
                  <c:v>1521.0</c:v>
                </c:pt>
                <c:pt idx="181">
                  <c:v>1521.0</c:v>
                </c:pt>
                <c:pt idx="182">
                  <c:v>1521.0</c:v>
                </c:pt>
                <c:pt idx="183">
                  <c:v>1521.0</c:v>
                </c:pt>
                <c:pt idx="184">
                  <c:v>1521.0</c:v>
                </c:pt>
                <c:pt idx="185">
                  <c:v>1521.0</c:v>
                </c:pt>
                <c:pt idx="186">
                  <c:v>1521.0</c:v>
                </c:pt>
                <c:pt idx="187">
                  <c:v>1521.0</c:v>
                </c:pt>
                <c:pt idx="188">
                  <c:v>1521.0</c:v>
                </c:pt>
                <c:pt idx="189">
                  <c:v>1521.0</c:v>
                </c:pt>
                <c:pt idx="190">
                  <c:v>1521.0</c:v>
                </c:pt>
                <c:pt idx="191">
                  <c:v>1521.0</c:v>
                </c:pt>
                <c:pt idx="192">
                  <c:v>1521.0</c:v>
                </c:pt>
                <c:pt idx="193">
                  <c:v>1521.0</c:v>
                </c:pt>
                <c:pt idx="194">
                  <c:v>1521.0</c:v>
                </c:pt>
                <c:pt idx="195">
                  <c:v>1521.0</c:v>
                </c:pt>
                <c:pt idx="196">
                  <c:v>1521.0</c:v>
                </c:pt>
                <c:pt idx="197">
                  <c:v>1521.0</c:v>
                </c:pt>
                <c:pt idx="198">
                  <c:v>1521.0</c:v>
                </c:pt>
                <c:pt idx="199">
                  <c:v>1521.0</c:v>
                </c:pt>
                <c:pt idx="200">
                  <c:v>1521.0</c:v>
                </c:pt>
                <c:pt idx="201">
                  <c:v>1521.0</c:v>
                </c:pt>
                <c:pt idx="202">
                  <c:v>1521.0</c:v>
                </c:pt>
                <c:pt idx="203">
                  <c:v>1521.0</c:v>
                </c:pt>
                <c:pt idx="204">
                  <c:v>1521.0</c:v>
                </c:pt>
                <c:pt idx="205">
                  <c:v>1521.0</c:v>
                </c:pt>
                <c:pt idx="206">
                  <c:v>1521.0</c:v>
                </c:pt>
                <c:pt idx="207">
                  <c:v>1521.0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2"/>
          <c:order val="12"/>
          <c:tx>
            <c:v>Benchmark (1 cent)</c:v>
          </c:tx>
          <c:spPr>
            <a:ln w="15875">
              <a:solidFill>
                <a:srgbClr val="C00000"/>
              </a:solidFill>
            </a:ln>
          </c:spPr>
          <c:marker>
            <c:symbol val="none"/>
          </c:marker>
          <c:xVal>
            <c:numRef>
              <c:f>'Fig6 Data'!$X$4:$X$211</c:f>
              <c:numCache>
                <c:formatCode>General</c:formatCode>
                <c:ptCount val="208"/>
                <c:pt idx="0">
                  <c:v>2029.0</c:v>
                </c:pt>
                <c:pt idx="1">
                  <c:v>2029.0</c:v>
                </c:pt>
                <c:pt idx="2">
                  <c:v>2029.0</c:v>
                </c:pt>
                <c:pt idx="3">
                  <c:v>2029.0</c:v>
                </c:pt>
                <c:pt idx="4">
                  <c:v>2029.0</c:v>
                </c:pt>
                <c:pt idx="5">
                  <c:v>2029.0</c:v>
                </c:pt>
                <c:pt idx="6">
                  <c:v>2029.0</c:v>
                </c:pt>
                <c:pt idx="7">
                  <c:v>2029.0</c:v>
                </c:pt>
                <c:pt idx="8">
                  <c:v>2029.0</c:v>
                </c:pt>
                <c:pt idx="9">
                  <c:v>2029.0</c:v>
                </c:pt>
                <c:pt idx="10">
                  <c:v>2029.0</c:v>
                </c:pt>
                <c:pt idx="11">
                  <c:v>2029.0</c:v>
                </c:pt>
                <c:pt idx="12">
                  <c:v>2029.0</c:v>
                </c:pt>
                <c:pt idx="13">
                  <c:v>2029.0</c:v>
                </c:pt>
                <c:pt idx="14">
                  <c:v>2029.0</c:v>
                </c:pt>
                <c:pt idx="15">
                  <c:v>2029.0</c:v>
                </c:pt>
                <c:pt idx="16">
                  <c:v>2029.0</c:v>
                </c:pt>
                <c:pt idx="17">
                  <c:v>2029.0</c:v>
                </c:pt>
                <c:pt idx="18">
                  <c:v>2029.0</c:v>
                </c:pt>
                <c:pt idx="19">
                  <c:v>2029.0</c:v>
                </c:pt>
                <c:pt idx="20">
                  <c:v>2029.0</c:v>
                </c:pt>
                <c:pt idx="21">
                  <c:v>2029.0</c:v>
                </c:pt>
                <c:pt idx="22">
                  <c:v>2029.0</c:v>
                </c:pt>
                <c:pt idx="23">
                  <c:v>2029.0</c:v>
                </c:pt>
                <c:pt idx="24">
                  <c:v>2029.0</c:v>
                </c:pt>
                <c:pt idx="25">
                  <c:v>2029.0</c:v>
                </c:pt>
                <c:pt idx="26">
                  <c:v>2029.0</c:v>
                </c:pt>
                <c:pt idx="27">
                  <c:v>2029.0</c:v>
                </c:pt>
                <c:pt idx="28">
                  <c:v>2029.0</c:v>
                </c:pt>
                <c:pt idx="29">
                  <c:v>2029.0</c:v>
                </c:pt>
                <c:pt idx="30">
                  <c:v>2029.0</c:v>
                </c:pt>
                <c:pt idx="31">
                  <c:v>2029.0</c:v>
                </c:pt>
                <c:pt idx="32">
                  <c:v>2029.0</c:v>
                </c:pt>
                <c:pt idx="33">
                  <c:v>2029.0</c:v>
                </c:pt>
                <c:pt idx="34">
                  <c:v>2029.0</c:v>
                </c:pt>
                <c:pt idx="35">
                  <c:v>2029.0</c:v>
                </c:pt>
                <c:pt idx="36">
                  <c:v>2029.0</c:v>
                </c:pt>
                <c:pt idx="37">
                  <c:v>2029.0</c:v>
                </c:pt>
                <c:pt idx="38">
                  <c:v>2029.0</c:v>
                </c:pt>
                <c:pt idx="39">
                  <c:v>2029.0</c:v>
                </c:pt>
                <c:pt idx="40">
                  <c:v>2029.0</c:v>
                </c:pt>
                <c:pt idx="41">
                  <c:v>2029.0</c:v>
                </c:pt>
                <c:pt idx="42">
                  <c:v>2029.0</c:v>
                </c:pt>
                <c:pt idx="43">
                  <c:v>2029.0</c:v>
                </c:pt>
                <c:pt idx="44">
                  <c:v>2029.0</c:v>
                </c:pt>
                <c:pt idx="45">
                  <c:v>2029.0</c:v>
                </c:pt>
                <c:pt idx="46">
                  <c:v>2029.0</c:v>
                </c:pt>
                <c:pt idx="47">
                  <c:v>2029.0</c:v>
                </c:pt>
                <c:pt idx="48">
                  <c:v>2029.0</c:v>
                </c:pt>
                <c:pt idx="49">
                  <c:v>2029.0</c:v>
                </c:pt>
                <c:pt idx="50">
                  <c:v>2029.0</c:v>
                </c:pt>
                <c:pt idx="51">
                  <c:v>2029.0</c:v>
                </c:pt>
                <c:pt idx="52">
                  <c:v>2029.0</c:v>
                </c:pt>
                <c:pt idx="53">
                  <c:v>2029.0</c:v>
                </c:pt>
                <c:pt idx="54">
                  <c:v>2029.0</c:v>
                </c:pt>
                <c:pt idx="55">
                  <c:v>2029.0</c:v>
                </c:pt>
                <c:pt idx="56">
                  <c:v>2029.0</c:v>
                </c:pt>
                <c:pt idx="57">
                  <c:v>2029.0</c:v>
                </c:pt>
                <c:pt idx="58">
                  <c:v>2029.0</c:v>
                </c:pt>
                <c:pt idx="59">
                  <c:v>2029.0</c:v>
                </c:pt>
                <c:pt idx="60">
                  <c:v>2029.0</c:v>
                </c:pt>
                <c:pt idx="61">
                  <c:v>2029.0</c:v>
                </c:pt>
                <c:pt idx="62">
                  <c:v>2029.0</c:v>
                </c:pt>
                <c:pt idx="63">
                  <c:v>2029.0</c:v>
                </c:pt>
                <c:pt idx="64">
                  <c:v>2029.0</c:v>
                </c:pt>
                <c:pt idx="65">
                  <c:v>2029.0</c:v>
                </c:pt>
                <c:pt idx="66">
                  <c:v>2029.0</c:v>
                </c:pt>
                <c:pt idx="67">
                  <c:v>2029.0</c:v>
                </c:pt>
                <c:pt idx="68">
                  <c:v>2029.0</c:v>
                </c:pt>
                <c:pt idx="69">
                  <c:v>2029.0</c:v>
                </c:pt>
                <c:pt idx="70">
                  <c:v>2029.0</c:v>
                </c:pt>
                <c:pt idx="71">
                  <c:v>2029.0</c:v>
                </c:pt>
                <c:pt idx="72">
                  <c:v>2029.0</c:v>
                </c:pt>
                <c:pt idx="73">
                  <c:v>2029.0</c:v>
                </c:pt>
                <c:pt idx="74">
                  <c:v>2029.0</c:v>
                </c:pt>
                <c:pt idx="75">
                  <c:v>2029.0</c:v>
                </c:pt>
                <c:pt idx="76">
                  <c:v>2029.0</c:v>
                </c:pt>
                <c:pt idx="77">
                  <c:v>2029.0</c:v>
                </c:pt>
                <c:pt idx="78">
                  <c:v>2029.0</c:v>
                </c:pt>
                <c:pt idx="79">
                  <c:v>2029.0</c:v>
                </c:pt>
                <c:pt idx="80">
                  <c:v>2029.0</c:v>
                </c:pt>
                <c:pt idx="81">
                  <c:v>2029.0</c:v>
                </c:pt>
                <c:pt idx="82">
                  <c:v>2029.0</c:v>
                </c:pt>
                <c:pt idx="83">
                  <c:v>2029.0</c:v>
                </c:pt>
                <c:pt idx="84">
                  <c:v>2029.0</c:v>
                </c:pt>
                <c:pt idx="85">
                  <c:v>2029.0</c:v>
                </c:pt>
                <c:pt idx="86">
                  <c:v>2029.0</c:v>
                </c:pt>
                <c:pt idx="87">
                  <c:v>2029.0</c:v>
                </c:pt>
                <c:pt idx="88">
                  <c:v>2029.0</c:v>
                </c:pt>
                <c:pt idx="89">
                  <c:v>2029.0</c:v>
                </c:pt>
                <c:pt idx="90">
                  <c:v>2029.0</c:v>
                </c:pt>
                <c:pt idx="91">
                  <c:v>2029.0</c:v>
                </c:pt>
                <c:pt idx="92">
                  <c:v>2029.0</c:v>
                </c:pt>
                <c:pt idx="93">
                  <c:v>2029.0</c:v>
                </c:pt>
                <c:pt idx="94">
                  <c:v>2029.0</c:v>
                </c:pt>
                <c:pt idx="95">
                  <c:v>2029.0</c:v>
                </c:pt>
                <c:pt idx="96">
                  <c:v>2029.0</c:v>
                </c:pt>
                <c:pt idx="97">
                  <c:v>2029.0</c:v>
                </c:pt>
                <c:pt idx="98">
                  <c:v>2029.0</c:v>
                </c:pt>
                <c:pt idx="99">
                  <c:v>2029.0</c:v>
                </c:pt>
                <c:pt idx="100">
                  <c:v>2029.0</c:v>
                </c:pt>
                <c:pt idx="101">
                  <c:v>2029.0</c:v>
                </c:pt>
                <c:pt idx="102">
                  <c:v>2029.0</c:v>
                </c:pt>
                <c:pt idx="103">
                  <c:v>2029.0</c:v>
                </c:pt>
                <c:pt idx="104">
                  <c:v>2029.0</c:v>
                </c:pt>
                <c:pt idx="105">
                  <c:v>2029.0</c:v>
                </c:pt>
                <c:pt idx="106">
                  <c:v>2029.0</c:v>
                </c:pt>
                <c:pt idx="107">
                  <c:v>2029.0</c:v>
                </c:pt>
                <c:pt idx="108">
                  <c:v>2029.0</c:v>
                </c:pt>
                <c:pt idx="109">
                  <c:v>2029.0</c:v>
                </c:pt>
                <c:pt idx="110">
                  <c:v>2029.0</c:v>
                </c:pt>
                <c:pt idx="111">
                  <c:v>2029.0</c:v>
                </c:pt>
                <c:pt idx="112">
                  <c:v>2029.0</c:v>
                </c:pt>
                <c:pt idx="113">
                  <c:v>2029.0</c:v>
                </c:pt>
                <c:pt idx="114">
                  <c:v>2029.0</c:v>
                </c:pt>
                <c:pt idx="115">
                  <c:v>2029.0</c:v>
                </c:pt>
                <c:pt idx="116">
                  <c:v>2029.0</c:v>
                </c:pt>
                <c:pt idx="117">
                  <c:v>2029.0</c:v>
                </c:pt>
                <c:pt idx="118">
                  <c:v>2029.0</c:v>
                </c:pt>
                <c:pt idx="119">
                  <c:v>2029.0</c:v>
                </c:pt>
                <c:pt idx="120">
                  <c:v>2029.0</c:v>
                </c:pt>
                <c:pt idx="121">
                  <c:v>2029.0</c:v>
                </c:pt>
                <c:pt idx="122">
                  <c:v>2029.0</c:v>
                </c:pt>
                <c:pt idx="123">
                  <c:v>2029.0</c:v>
                </c:pt>
                <c:pt idx="124">
                  <c:v>2029.0</c:v>
                </c:pt>
                <c:pt idx="125">
                  <c:v>2029.0</c:v>
                </c:pt>
                <c:pt idx="126">
                  <c:v>2029.0</c:v>
                </c:pt>
                <c:pt idx="127">
                  <c:v>2029.0</c:v>
                </c:pt>
                <c:pt idx="128">
                  <c:v>2029.0</c:v>
                </c:pt>
                <c:pt idx="129">
                  <c:v>2029.0</c:v>
                </c:pt>
                <c:pt idx="130">
                  <c:v>2029.0</c:v>
                </c:pt>
                <c:pt idx="131">
                  <c:v>2029.0</c:v>
                </c:pt>
                <c:pt idx="132">
                  <c:v>2029.0</c:v>
                </c:pt>
                <c:pt idx="133">
                  <c:v>2029.0</c:v>
                </c:pt>
                <c:pt idx="134">
                  <c:v>2029.0</c:v>
                </c:pt>
                <c:pt idx="135">
                  <c:v>2029.0</c:v>
                </c:pt>
                <c:pt idx="136">
                  <c:v>2029.0</c:v>
                </c:pt>
                <c:pt idx="137">
                  <c:v>2029.0</c:v>
                </c:pt>
                <c:pt idx="138">
                  <c:v>2029.0</c:v>
                </c:pt>
                <c:pt idx="139">
                  <c:v>2029.0</c:v>
                </c:pt>
                <c:pt idx="140">
                  <c:v>2029.0</c:v>
                </c:pt>
                <c:pt idx="141">
                  <c:v>2029.0</c:v>
                </c:pt>
                <c:pt idx="142">
                  <c:v>2029.0</c:v>
                </c:pt>
                <c:pt idx="143">
                  <c:v>2029.0</c:v>
                </c:pt>
                <c:pt idx="144">
                  <c:v>2029.0</c:v>
                </c:pt>
                <c:pt idx="145">
                  <c:v>2029.0</c:v>
                </c:pt>
                <c:pt idx="146">
                  <c:v>2029.0</c:v>
                </c:pt>
                <c:pt idx="147">
                  <c:v>2029.0</c:v>
                </c:pt>
                <c:pt idx="148">
                  <c:v>2029.0</c:v>
                </c:pt>
                <c:pt idx="149">
                  <c:v>2029.0</c:v>
                </c:pt>
                <c:pt idx="150">
                  <c:v>2029.0</c:v>
                </c:pt>
                <c:pt idx="151">
                  <c:v>2029.0</c:v>
                </c:pt>
                <c:pt idx="152">
                  <c:v>2029.0</c:v>
                </c:pt>
                <c:pt idx="153">
                  <c:v>2029.0</c:v>
                </c:pt>
                <c:pt idx="154">
                  <c:v>2029.0</c:v>
                </c:pt>
                <c:pt idx="155">
                  <c:v>2029.0</c:v>
                </c:pt>
                <c:pt idx="156">
                  <c:v>2029.0</c:v>
                </c:pt>
                <c:pt idx="157">
                  <c:v>2029.0</c:v>
                </c:pt>
                <c:pt idx="158">
                  <c:v>2029.0</c:v>
                </c:pt>
                <c:pt idx="159">
                  <c:v>2029.0</c:v>
                </c:pt>
                <c:pt idx="160">
                  <c:v>2029.0</c:v>
                </c:pt>
                <c:pt idx="161">
                  <c:v>2029.0</c:v>
                </c:pt>
                <c:pt idx="162">
                  <c:v>2029.0</c:v>
                </c:pt>
                <c:pt idx="163">
                  <c:v>2029.0</c:v>
                </c:pt>
                <c:pt idx="164">
                  <c:v>2029.0</c:v>
                </c:pt>
                <c:pt idx="165">
                  <c:v>2029.0</c:v>
                </c:pt>
                <c:pt idx="166">
                  <c:v>2029.0</c:v>
                </c:pt>
                <c:pt idx="167">
                  <c:v>2029.0</c:v>
                </c:pt>
                <c:pt idx="168">
                  <c:v>2029.0</c:v>
                </c:pt>
                <c:pt idx="169">
                  <c:v>2029.0</c:v>
                </c:pt>
                <c:pt idx="170">
                  <c:v>2029.0</c:v>
                </c:pt>
                <c:pt idx="171">
                  <c:v>2029.0</c:v>
                </c:pt>
                <c:pt idx="172">
                  <c:v>2029.0</c:v>
                </c:pt>
                <c:pt idx="173">
                  <c:v>2029.0</c:v>
                </c:pt>
                <c:pt idx="174">
                  <c:v>2029.0</c:v>
                </c:pt>
                <c:pt idx="175">
                  <c:v>2029.0</c:v>
                </c:pt>
                <c:pt idx="176">
                  <c:v>2029.0</c:v>
                </c:pt>
                <c:pt idx="177">
                  <c:v>2029.0</c:v>
                </c:pt>
                <c:pt idx="178">
                  <c:v>2029.0</c:v>
                </c:pt>
                <c:pt idx="179">
                  <c:v>2029.0</c:v>
                </c:pt>
                <c:pt idx="180">
                  <c:v>2029.0</c:v>
                </c:pt>
                <c:pt idx="181">
                  <c:v>2029.0</c:v>
                </c:pt>
                <c:pt idx="182">
                  <c:v>2029.0</c:v>
                </c:pt>
                <c:pt idx="183">
                  <c:v>2029.0</c:v>
                </c:pt>
                <c:pt idx="184">
                  <c:v>2029.0</c:v>
                </c:pt>
                <c:pt idx="185">
                  <c:v>2029.0</c:v>
                </c:pt>
                <c:pt idx="186">
                  <c:v>2029.0</c:v>
                </c:pt>
                <c:pt idx="187">
                  <c:v>2029.0</c:v>
                </c:pt>
                <c:pt idx="188">
                  <c:v>2029.0</c:v>
                </c:pt>
                <c:pt idx="189">
                  <c:v>2029.0</c:v>
                </c:pt>
                <c:pt idx="190">
                  <c:v>2029.0</c:v>
                </c:pt>
                <c:pt idx="191">
                  <c:v>2029.0</c:v>
                </c:pt>
                <c:pt idx="192">
                  <c:v>2029.0</c:v>
                </c:pt>
                <c:pt idx="193">
                  <c:v>2029.0</c:v>
                </c:pt>
                <c:pt idx="194">
                  <c:v>2029.0</c:v>
                </c:pt>
                <c:pt idx="195">
                  <c:v>2029.0</c:v>
                </c:pt>
                <c:pt idx="196">
                  <c:v>2029.0</c:v>
                </c:pt>
                <c:pt idx="197">
                  <c:v>2029.0</c:v>
                </c:pt>
                <c:pt idx="198">
                  <c:v>2029.0</c:v>
                </c:pt>
                <c:pt idx="199">
                  <c:v>2029.0</c:v>
                </c:pt>
                <c:pt idx="200">
                  <c:v>2029.0</c:v>
                </c:pt>
                <c:pt idx="201">
                  <c:v>2029.0</c:v>
                </c:pt>
                <c:pt idx="202">
                  <c:v>2029.0</c:v>
                </c:pt>
                <c:pt idx="203">
                  <c:v>2029.0</c:v>
                </c:pt>
                <c:pt idx="204">
                  <c:v>2029.0</c:v>
                </c:pt>
                <c:pt idx="205">
                  <c:v>2029.0</c:v>
                </c:pt>
                <c:pt idx="206">
                  <c:v>2029.0</c:v>
                </c:pt>
                <c:pt idx="207">
                  <c:v>2029.0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ser>
          <c:idx val="13"/>
          <c:order val="13"/>
          <c:tx>
            <c:v>Benchmark (4 Cents)</c:v>
          </c:tx>
          <c:spPr>
            <a:ln w="15875">
              <a:solidFill>
                <a:srgbClr val="C00000"/>
              </a:solidFill>
            </a:ln>
          </c:spPr>
          <c:marker>
            <c:symbol val="none"/>
          </c:marker>
          <c:xVal>
            <c:numRef>
              <c:f>'Fig6 Data'!$Y$4:$Y$211</c:f>
              <c:numCache>
                <c:formatCode>General</c:formatCode>
                <c:ptCount val="208"/>
                <c:pt idx="0">
                  <c:v>2175.0</c:v>
                </c:pt>
                <c:pt idx="1">
                  <c:v>2175.0</c:v>
                </c:pt>
                <c:pt idx="2">
                  <c:v>2175.0</c:v>
                </c:pt>
                <c:pt idx="3">
                  <c:v>2175.0</c:v>
                </c:pt>
                <c:pt idx="4">
                  <c:v>2175.0</c:v>
                </c:pt>
                <c:pt idx="5">
                  <c:v>2175.0</c:v>
                </c:pt>
                <c:pt idx="6">
                  <c:v>2175.0</c:v>
                </c:pt>
                <c:pt idx="7">
                  <c:v>2175.0</c:v>
                </c:pt>
                <c:pt idx="8">
                  <c:v>2175.0</c:v>
                </c:pt>
                <c:pt idx="9">
                  <c:v>2175.0</c:v>
                </c:pt>
                <c:pt idx="10">
                  <c:v>2175.0</c:v>
                </c:pt>
                <c:pt idx="11">
                  <c:v>2175.0</c:v>
                </c:pt>
                <c:pt idx="12">
                  <c:v>2175.0</c:v>
                </c:pt>
                <c:pt idx="13">
                  <c:v>2175.0</c:v>
                </c:pt>
                <c:pt idx="14">
                  <c:v>2175.0</c:v>
                </c:pt>
                <c:pt idx="15">
                  <c:v>2175.0</c:v>
                </c:pt>
                <c:pt idx="16">
                  <c:v>2175.0</c:v>
                </c:pt>
                <c:pt idx="17">
                  <c:v>2175.0</c:v>
                </c:pt>
                <c:pt idx="18">
                  <c:v>2175.0</c:v>
                </c:pt>
                <c:pt idx="19">
                  <c:v>2175.0</c:v>
                </c:pt>
                <c:pt idx="20">
                  <c:v>2175.0</c:v>
                </c:pt>
                <c:pt idx="21">
                  <c:v>2175.0</c:v>
                </c:pt>
                <c:pt idx="22">
                  <c:v>2175.0</c:v>
                </c:pt>
                <c:pt idx="23">
                  <c:v>2175.0</c:v>
                </c:pt>
                <c:pt idx="24">
                  <c:v>2175.0</c:v>
                </c:pt>
                <c:pt idx="25">
                  <c:v>2175.0</c:v>
                </c:pt>
                <c:pt idx="26">
                  <c:v>2175.0</c:v>
                </c:pt>
                <c:pt idx="27">
                  <c:v>2175.0</c:v>
                </c:pt>
                <c:pt idx="28">
                  <c:v>2175.0</c:v>
                </c:pt>
                <c:pt idx="29">
                  <c:v>2175.0</c:v>
                </c:pt>
                <c:pt idx="30">
                  <c:v>2175.0</c:v>
                </c:pt>
                <c:pt idx="31">
                  <c:v>2175.0</c:v>
                </c:pt>
                <c:pt idx="32">
                  <c:v>2175.0</c:v>
                </c:pt>
                <c:pt idx="33">
                  <c:v>2175.0</c:v>
                </c:pt>
                <c:pt idx="34">
                  <c:v>2175.0</c:v>
                </c:pt>
                <c:pt idx="35">
                  <c:v>2175.0</c:v>
                </c:pt>
                <c:pt idx="36">
                  <c:v>2175.0</c:v>
                </c:pt>
                <c:pt idx="37">
                  <c:v>2175.0</c:v>
                </c:pt>
                <c:pt idx="38">
                  <c:v>2175.0</c:v>
                </c:pt>
                <c:pt idx="39">
                  <c:v>2175.0</c:v>
                </c:pt>
                <c:pt idx="40">
                  <c:v>2175.0</c:v>
                </c:pt>
                <c:pt idx="41">
                  <c:v>2175.0</c:v>
                </c:pt>
                <c:pt idx="42">
                  <c:v>2175.0</c:v>
                </c:pt>
                <c:pt idx="43">
                  <c:v>2175.0</c:v>
                </c:pt>
                <c:pt idx="44">
                  <c:v>2175.0</c:v>
                </c:pt>
                <c:pt idx="45">
                  <c:v>2175.0</c:v>
                </c:pt>
                <c:pt idx="46">
                  <c:v>2175.0</c:v>
                </c:pt>
                <c:pt idx="47">
                  <c:v>2175.0</c:v>
                </c:pt>
                <c:pt idx="48">
                  <c:v>2175.0</c:v>
                </c:pt>
                <c:pt idx="49">
                  <c:v>2175.0</c:v>
                </c:pt>
                <c:pt idx="50">
                  <c:v>2175.0</c:v>
                </c:pt>
                <c:pt idx="51">
                  <c:v>2175.0</c:v>
                </c:pt>
                <c:pt idx="52">
                  <c:v>2175.0</c:v>
                </c:pt>
                <c:pt idx="53">
                  <c:v>2175.0</c:v>
                </c:pt>
                <c:pt idx="54">
                  <c:v>2175.0</c:v>
                </c:pt>
                <c:pt idx="55">
                  <c:v>2175.0</c:v>
                </c:pt>
                <c:pt idx="56">
                  <c:v>2175.0</c:v>
                </c:pt>
                <c:pt idx="57">
                  <c:v>2175.0</c:v>
                </c:pt>
                <c:pt idx="58">
                  <c:v>2175.0</c:v>
                </c:pt>
                <c:pt idx="59">
                  <c:v>2175.0</c:v>
                </c:pt>
                <c:pt idx="60">
                  <c:v>2175.0</c:v>
                </c:pt>
                <c:pt idx="61">
                  <c:v>2175.0</c:v>
                </c:pt>
                <c:pt idx="62">
                  <c:v>2175.0</c:v>
                </c:pt>
                <c:pt idx="63">
                  <c:v>2175.0</c:v>
                </c:pt>
                <c:pt idx="64">
                  <c:v>2175.0</c:v>
                </c:pt>
                <c:pt idx="65">
                  <c:v>2175.0</c:v>
                </c:pt>
                <c:pt idx="66">
                  <c:v>2175.0</c:v>
                </c:pt>
                <c:pt idx="67">
                  <c:v>2175.0</c:v>
                </c:pt>
                <c:pt idx="68">
                  <c:v>2175.0</c:v>
                </c:pt>
                <c:pt idx="69">
                  <c:v>2175.0</c:v>
                </c:pt>
                <c:pt idx="70">
                  <c:v>2175.0</c:v>
                </c:pt>
                <c:pt idx="71">
                  <c:v>2175.0</c:v>
                </c:pt>
                <c:pt idx="72">
                  <c:v>2175.0</c:v>
                </c:pt>
                <c:pt idx="73">
                  <c:v>2175.0</c:v>
                </c:pt>
                <c:pt idx="74">
                  <c:v>2175.0</c:v>
                </c:pt>
                <c:pt idx="75">
                  <c:v>2175.0</c:v>
                </c:pt>
                <c:pt idx="76">
                  <c:v>2175.0</c:v>
                </c:pt>
                <c:pt idx="77">
                  <c:v>2175.0</c:v>
                </c:pt>
                <c:pt idx="78">
                  <c:v>2175.0</c:v>
                </c:pt>
                <c:pt idx="79">
                  <c:v>2175.0</c:v>
                </c:pt>
                <c:pt idx="80">
                  <c:v>2175.0</c:v>
                </c:pt>
                <c:pt idx="81">
                  <c:v>2175.0</c:v>
                </c:pt>
                <c:pt idx="82">
                  <c:v>2175.0</c:v>
                </c:pt>
                <c:pt idx="83">
                  <c:v>2175.0</c:v>
                </c:pt>
                <c:pt idx="84">
                  <c:v>2175.0</c:v>
                </c:pt>
                <c:pt idx="85">
                  <c:v>2175.0</c:v>
                </c:pt>
                <c:pt idx="86">
                  <c:v>2175.0</c:v>
                </c:pt>
                <c:pt idx="87">
                  <c:v>2175.0</c:v>
                </c:pt>
                <c:pt idx="88">
                  <c:v>2175.0</c:v>
                </c:pt>
                <c:pt idx="89">
                  <c:v>2175.0</c:v>
                </c:pt>
                <c:pt idx="90">
                  <c:v>2175.0</c:v>
                </c:pt>
                <c:pt idx="91">
                  <c:v>2175.0</c:v>
                </c:pt>
                <c:pt idx="92">
                  <c:v>2175.0</c:v>
                </c:pt>
                <c:pt idx="93">
                  <c:v>2175.0</c:v>
                </c:pt>
                <c:pt idx="94">
                  <c:v>2175.0</c:v>
                </c:pt>
                <c:pt idx="95">
                  <c:v>2175.0</c:v>
                </c:pt>
                <c:pt idx="96">
                  <c:v>2175.0</c:v>
                </c:pt>
                <c:pt idx="97">
                  <c:v>2175.0</c:v>
                </c:pt>
                <c:pt idx="98">
                  <c:v>2175.0</c:v>
                </c:pt>
                <c:pt idx="99">
                  <c:v>2175.0</c:v>
                </c:pt>
                <c:pt idx="100">
                  <c:v>2175.0</c:v>
                </c:pt>
                <c:pt idx="101">
                  <c:v>2175.0</c:v>
                </c:pt>
                <c:pt idx="102">
                  <c:v>2175.0</c:v>
                </c:pt>
                <c:pt idx="103">
                  <c:v>2175.0</c:v>
                </c:pt>
                <c:pt idx="104">
                  <c:v>2175.0</c:v>
                </c:pt>
                <c:pt idx="105">
                  <c:v>2175.0</c:v>
                </c:pt>
                <c:pt idx="106">
                  <c:v>2175.0</c:v>
                </c:pt>
                <c:pt idx="107">
                  <c:v>2175.0</c:v>
                </c:pt>
                <c:pt idx="108">
                  <c:v>2175.0</c:v>
                </c:pt>
                <c:pt idx="109">
                  <c:v>2175.0</c:v>
                </c:pt>
                <c:pt idx="110">
                  <c:v>2175.0</c:v>
                </c:pt>
                <c:pt idx="111">
                  <c:v>2175.0</c:v>
                </c:pt>
                <c:pt idx="112">
                  <c:v>2175.0</c:v>
                </c:pt>
                <c:pt idx="113">
                  <c:v>2175.0</c:v>
                </c:pt>
                <c:pt idx="114">
                  <c:v>2175.0</c:v>
                </c:pt>
                <c:pt idx="115">
                  <c:v>2175.0</c:v>
                </c:pt>
                <c:pt idx="116">
                  <c:v>2175.0</c:v>
                </c:pt>
                <c:pt idx="117">
                  <c:v>2175.0</c:v>
                </c:pt>
                <c:pt idx="118">
                  <c:v>2175.0</c:v>
                </c:pt>
                <c:pt idx="119">
                  <c:v>2175.0</c:v>
                </c:pt>
                <c:pt idx="120">
                  <c:v>2175.0</c:v>
                </c:pt>
                <c:pt idx="121">
                  <c:v>2175.0</c:v>
                </c:pt>
                <c:pt idx="122">
                  <c:v>2175.0</c:v>
                </c:pt>
                <c:pt idx="123">
                  <c:v>2175.0</c:v>
                </c:pt>
                <c:pt idx="124">
                  <c:v>2175.0</c:v>
                </c:pt>
                <c:pt idx="125">
                  <c:v>2175.0</c:v>
                </c:pt>
                <c:pt idx="126">
                  <c:v>2175.0</c:v>
                </c:pt>
                <c:pt idx="127">
                  <c:v>2175.0</c:v>
                </c:pt>
                <c:pt idx="128">
                  <c:v>2175.0</c:v>
                </c:pt>
                <c:pt idx="129">
                  <c:v>2175.0</c:v>
                </c:pt>
                <c:pt idx="130">
                  <c:v>2175.0</c:v>
                </c:pt>
                <c:pt idx="131">
                  <c:v>2175.0</c:v>
                </c:pt>
                <c:pt idx="132">
                  <c:v>2175.0</c:v>
                </c:pt>
                <c:pt idx="133">
                  <c:v>2175.0</c:v>
                </c:pt>
                <c:pt idx="134">
                  <c:v>2175.0</c:v>
                </c:pt>
                <c:pt idx="135">
                  <c:v>2175.0</c:v>
                </c:pt>
                <c:pt idx="136">
                  <c:v>2175.0</c:v>
                </c:pt>
                <c:pt idx="137">
                  <c:v>2175.0</c:v>
                </c:pt>
                <c:pt idx="138">
                  <c:v>2175.0</c:v>
                </c:pt>
                <c:pt idx="139">
                  <c:v>2175.0</c:v>
                </c:pt>
                <c:pt idx="140">
                  <c:v>2175.0</c:v>
                </c:pt>
                <c:pt idx="141">
                  <c:v>2175.0</c:v>
                </c:pt>
                <c:pt idx="142">
                  <c:v>2175.0</c:v>
                </c:pt>
                <c:pt idx="143">
                  <c:v>2175.0</c:v>
                </c:pt>
                <c:pt idx="144">
                  <c:v>2175.0</c:v>
                </c:pt>
                <c:pt idx="145">
                  <c:v>2175.0</c:v>
                </c:pt>
                <c:pt idx="146">
                  <c:v>2175.0</c:v>
                </c:pt>
                <c:pt idx="147">
                  <c:v>2175.0</c:v>
                </c:pt>
                <c:pt idx="148">
                  <c:v>2175.0</c:v>
                </c:pt>
                <c:pt idx="149">
                  <c:v>2175.0</c:v>
                </c:pt>
                <c:pt idx="150">
                  <c:v>2175.0</c:v>
                </c:pt>
                <c:pt idx="151">
                  <c:v>2175.0</c:v>
                </c:pt>
                <c:pt idx="152">
                  <c:v>2175.0</c:v>
                </c:pt>
                <c:pt idx="153">
                  <c:v>2175.0</c:v>
                </c:pt>
                <c:pt idx="154">
                  <c:v>2175.0</c:v>
                </c:pt>
                <c:pt idx="155">
                  <c:v>2175.0</c:v>
                </c:pt>
                <c:pt idx="156">
                  <c:v>2175.0</c:v>
                </c:pt>
                <c:pt idx="157">
                  <c:v>2175.0</c:v>
                </c:pt>
                <c:pt idx="158">
                  <c:v>2175.0</c:v>
                </c:pt>
                <c:pt idx="159">
                  <c:v>2175.0</c:v>
                </c:pt>
                <c:pt idx="160">
                  <c:v>2175.0</c:v>
                </c:pt>
                <c:pt idx="161">
                  <c:v>2175.0</c:v>
                </c:pt>
                <c:pt idx="162">
                  <c:v>2175.0</c:v>
                </c:pt>
                <c:pt idx="163">
                  <c:v>2175.0</c:v>
                </c:pt>
                <c:pt idx="164">
                  <c:v>2175.0</c:v>
                </c:pt>
                <c:pt idx="165">
                  <c:v>2175.0</c:v>
                </c:pt>
                <c:pt idx="166">
                  <c:v>2175.0</c:v>
                </c:pt>
                <c:pt idx="167">
                  <c:v>2175.0</c:v>
                </c:pt>
                <c:pt idx="168">
                  <c:v>2175.0</c:v>
                </c:pt>
                <c:pt idx="169">
                  <c:v>2175.0</c:v>
                </c:pt>
                <c:pt idx="170">
                  <c:v>2175.0</c:v>
                </c:pt>
                <c:pt idx="171">
                  <c:v>2175.0</c:v>
                </c:pt>
                <c:pt idx="172">
                  <c:v>2175.0</c:v>
                </c:pt>
                <c:pt idx="173">
                  <c:v>2175.0</c:v>
                </c:pt>
                <c:pt idx="174">
                  <c:v>2175.0</c:v>
                </c:pt>
                <c:pt idx="175">
                  <c:v>2175.0</c:v>
                </c:pt>
                <c:pt idx="176">
                  <c:v>2175.0</c:v>
                </c:pt>
                <c:pt idx="177">
                  <c:v>2175.0</c:v>
                </c:pt>
                <c:pt idx="178">
                  <c:v>2175.0</c:v>
                </c:pt>
                <c:pt idx="179">
                  <c:v>2175.0</c:v>
                </c:pt>
                <c:pt idx="180">
                  <c:v>2175.0</c:v>
                </c:pt>
                <c:pt idx="181">
                  <c:v>2175.0</c:v>
                </c:pt>
                <c:pt idx="182">
                  <c:v>2175.0</c:v>
                </c:pt>
                <c:pt idx="183">
                  <c:v>2175.0</c:v>
                </c:pt>
                <c:pt idx="184">
                  <c:v>2175.0</c:v>
                </c:pt>
                <c:pt idx="185">
                  <c:v>2175.0</c:v>
                </c:pt>
                <c:pt idx="186">
                  <c:v>2175.0</c:v>
                </c:pt>
                <c:pt idx="187">
                  <c:v>2175.0</c:v>
                </c:pt>
                <c:pt idx="188">
                  <c:v>2175.0</c:v>
                </c:pt>
                <c:pt idx="189">
                  <c:v>2175.0</c:v>
                </c:pt>
                <c:pt idx="190">
                  <c:v>2175.0</c:v>
                </c:pt>
                <c:pt idx="191">
                  <c:v>2175.0</c:v>
                </c:pt>
                <c:pt idx="192">
                  <c:v>2175.0</c:v>
                </c:pt>
                <c:pt idx="193">
                  <c:v>2175.0</c:v>
                </c:pt>
                <c:pt idx="194">
                  <c:v>2175.0</c:v>
                </c:pt>
                <c:pt idx="195">
                  <c:v>2175.0</c:v>
                </c:pt>
                <c:pt idx="196">
                  <c:v>2175.0</c:v>
                </c:pt>
                <c:pt idx="197">
                  <c:v>2175.0</c:v>
                </c:pt>
                <c:pt idx="198">
                  <c:v>2175.0</c:v>
                </c:pt>
                <c:pt idx="199">
                  <c:v>2175.0</c:v>
                </c:pt>
                <c:pt idx="200">
                  <c:v>2175.0</c:v>
                </c:pt>
                <c:pt idx="201">
                  <c:v>2175.0</c:v>
                </c:pt>
                <c:pt idx="202">
                  <c:v>2175.0</c:v>
                </c:pt>
                <c:pt idx="203">
                  <c:v>2175.0</c:v>
                </c:pt>
                <c:pt idx="204">
                  <c:v>2175.0</c:v>
                </c:pt>
                <c:pt idx="205">
                  <c:v>2175.0</c:v>
                </c:pt>
                <c:pt idx="206">
                  <c:v>2175.0</c:v>
                </c:pt>
                <c:pt idx="207">
                  <c:v>2175.0</c:v>
                </c:pt>
              </c:numCache>
            </c:numRef>
          </c:xVal>
          <c:yVal>
            <c:numRef>
              <c:f>'Fig6 Data'!$C$4:$C$211</c:f>
              <c:numCache>
                <c:formatCode>General</c:formatCode>
                <c:ptCount val="208"/>
                <c:pt idx="0">
                  <c:v>0.00480769230769231</c:v>
                </c:pt>
                <c:pt idx="1">
                  <c:v>0.00961538461538461</c:v>
                </c:pt>
                <c:pt idx="2">
                  <c:v>0.0144230769230769</c:v>
                </c:pt>
                <c:pt idx="3">
                  <c:v>0.0192307692307692</c:v>
                </c:pt>
                <c:pt idx="4">
                  <c:v>0.0240384615384615</c:v>
                </c:pt>
                <c:pt idx="5">
                  <c:v>0.0288461538461538</c:v>
                </c:pt>
                <c:pt idx="6">
                  <c:v>0.0336538461538461</c:v>
                </c:pt>
                <c:pt idx="7">
                  <c:v>0.0384615384615385</c:v>
                </c:pt>
                <c:pt idx="8">
                  <c:v>0.0432692307692308</c:v>
                </c:pt>
                <c:pt idx="9">
                  <c:v>0.0480769230769231</c:v>
                </c:pt>
                <c:pt idx="10">
                  <c:v>0.0528846153846154</c:v>
                </c:pt>
                <c:pt idx="11">
                  <c:v>0.0576923076923077</c:v>
                </c:pt>
                <c:pt idx="12">
                  <c:v>0.0625</c:v>
                </c:pt>
                <c:pt idx="13">
                  <c:v>0.0673076923076923</c:v>
                </c:pt>
                <c:pt idx="14">
                  <c:v>0.0721153846153846</c:v>
                </c:pt>
                <c:pt idx="15">
                  <c:v>0.0769230769230769</c:v>
                </c:pt>
                <c:pt idx="16">
                  <c:v>0.0817307692307692</c:v>
                </c:pt>
                <c:pt idx="17">
                  <c:v>0.0865384615384615</c:v>
                </c:pt>
                <c:pt idx="18">
                  <c:v>0.0913461538461538</c:v>
                </c:pt>
                <c:pt idx="19">
                  <c:v>0.0961538461538461</c:v>
                </c:pt>
                <c:pt idx="20">
                  <c:v>0.100961538461538</c:v>
                </c:pt>
                <c:pt idx="21">
                  <c:v>0.105769230769231</c:v>
                </c:pt>
                <c:pt idx="22">
                  <c:v>0.110576923076923</c:v>
                </c:pt>
                <c:pt idx="23">
                  <c:v>0.115384615384615</c:v>
                </c:pt>
                <c:pt idx="24">
                  <c:v>0.120192307692308</c:v>
                </c:pt>
                <c:pt idx="25">
                  <c:v>0.125</c:v>
                </c:pt>
                <c:pt idx="26">
                  <c:v>0.129807692307692</c:v>
                </c:pt>
                <c:pt idx="27">
                  <c:v>0.134615384615385</c:v>
                </c:pt>
                <c:pt idx="28">
                  <c:v>0.139423076923077</c:v>
                </c:pt>
                <c:pt idx="29">
                  <c:v>0.144230769230769</c:v>
                </c:pt>
                <c:pt idx="30">
                  <c:v>0.149038461538462</c:v>
                </c:pt>
                <c:pt idx="31">
                  <c:v>0.153846153846154</c:v>
                </c:pt>
                <c:pt idx="32">
                  <c:v>0.158653846153846</c:v>
                </c:pt>
                <c:pt idx="33">
                  <c:v>0.163461538461538</c:v>
                </c:pt>
                <c:pt idx="34">
                  <c:v>0.168269230769231</c:v>
                </c:pt>
                <c:pt idx="35">
                  <c:v>0.173076923076923</c:v>
                </c:pt>
                <c:pt idx="36">
                  <c:v>0.177884615384615</c:v>
                </c:pt>
                <c:pt idx="37">
                  <c:v>0.182692307692308</c:v>
                </c:pt>
                <c:pt idx="38">
                  <c:v>0.1875</c:v>
                </c:pt>
                <c:pt idx="39">
                  <c:v>0.192307692307692</c:v>
                </c:pt>
                <c:pt idx="40">
                  <c:v>0.197115384615385</c:v>
                </c:pt>
                <c:pt idx="41">
                  <c:v>0.201923076923077</c:v>
                </c:pt>
                <c:pt idx="42">
                  <c:v>0.206730769230769</c:v>
                </c:pt>
                <c:pt idx="43">
                  <c:v>0.211538461538462</c:v>
                </c:pt>
                <c:pt idx="44">
                  <c:v>0.216346153846154</c:v>
                </c:pt>
                <c:pt idx="45">
                  <c:v>0.221153846153846</c:v>
                </c:pt>
                <c:pt idx="46">
                  <c:v>0.225961538461538</c:v>
                </c:pt>
                <c:pt idx="47">
                  <c:v>0.230769230769231</c:v>
                </c:pt>
                <c:pt idx="48">
                  <c:v>0.235576923076923</c:v>
                </c:pt>
                <c:pt idx="49">
                  <c:v>0.240384615384615</c:v>
                </c:pt>
                <c:pt idx="50">
                  <c:v>0.245192307692308</c:v>
                </c:pt>
                <c:pt idx="51">
                  <c:v>0.25</c:v>
                </c:pt>
                <c:pt idx="52">
                  <c:v>0.254807692307692</c:v>
                </c:pt>
                <c:pt idx="53">
                  <c:v>0.259615384615385</c:v>
                </c:pt>
                <c:pt idx="54">
                  <c:v>0.264423076923077</c:v>
                </c:pt>
                <c:pt idx="55">
                  <c:v>0.269230769230769</c:v>
                </c:pt>
                <c:pt idx="56">
                  <c:v>0.274038461538462</c:v>
                </c:pt>
                <c:pt idx="57">
                  <c:v>0.278846153846154</c:v>
                </c:pt>
                <c:pt idx="58">
                  <c:v>0.283653846153846</c:v>
                </c:pt>
                <c:pt idx="59">
                  <c:v>0.288461538461538</c:v>
                </c:pt>
                <c:pt idx="60">
                  <c:v>0.293269230769231</c:v>
                </c:pt>
                <c:pt idx="61">
                  <c:v>0.298076923076923</c:v>
                </c:pt>
                <c:pt idx="62">
                  <c:v>0.302884615384615</c:v>
                </c:pt>
                <c:pt idx="63">
                  <c:v>0.307692307692308</c:v>
                </c:pt>
                <c:pt idx="64">
                  <c:v>0.3125</c:v>
                </c:pt>
                <c:pt idx="65">
                  <c:v>0.317307692307692</c:v>
                </c:pt>
                <c:pt idx="66">
                  <c:v>0.322115384615385</c:v>
                </c:pt>
                <c:pt idx="67">
                  <c:v>0.326923076923077</c:v>
                </c:pt>
                <c:pt idx="68">
                  <c:v>0.331730769230769</c:v>
                </c:pt>
                <c:pt idx="69">
                  <c:v>0.336538461538462</c:v>
                </c:pt>
                <c:pt idx="70">
                  <c:v>0.341346153846154</c:v>
                </c:pt>
                <c:pt idx="71">
                  <c:v>0.346153846153846</c:v>
                </c:pt>
                <c:pt idx="72">
                  <c:v>0.350961538461538</c:v>
                </c:pt>
                <c:pt idx="73">
                  <c:v>0.355769230769231</c:v>
                </c:pt>
                <c:pt idx="74">
                  <c:v>0.360576923076923</c:v>
                </c:pt>
                <c:pt idx="75">
                  <c:v>0.365384615384615</c:v>
                </c:pt>
                <c:pt idx="76">
                  <c:v>0.370192307692308</c:v>
                </c:pt>
                <c:pt idx="77">
                  <c:v>0.375</c:v>
                </c:pt>
                <c:pt idx="78">
                  <c:v>0.379807692307692</c:v>
                </c:pt>
                <c:pt idx="79">
                  <c:v>0.384615384615385</c:v>
                </c:pt>
                <c:pt idx="80">
                  <c:v>0.389423076923077</c:v>
                </c:pt>
                <c:pt idx="81">
                  <c:v>0.394230769230769</c:v>
                </c:pt>
                <c:pt idx="82">
                  <c:v>0.399038461538461</c:v>
                </c:pt>
                <c:pt idx="83">
                  <c:v>0.403846153846154</c:v>
                </c:pt>
                <c:pt idx="84">
                  <c:v>0.408653846153846</c:v>
                </c:pt>
                <c:pt idx="85">
                  <c:v>0.413461538461538</c:v>
                </c:pt>
                <c:pt idx="86">
                  <c:v>0.418269230769231</c:v>
                </c:pt>
                <c:pt idx="87">
                  <c:v>0.423076923076923</c:v>
                </c:pt>
                <c:pt idx="88">
                  <c:v>0.427884615384615</c:v>
                </c:pt>
                <c:pt idx="89">
                  <c:v>0.432692307692308</c:v>
                </c:pt>
                <c:pt idx="90">
                  <c:v>0.4375</c:v>
                </c:pt>
                <c:pt idx="91">
                  <c:v>0.442307692307692</c:v>
                </c:pt>
                <c:pt idx="92">
                  <c:v>0.447115384615385</c:v>
                </c:pt>
                <c:pt idx="93">
                  <c:v>0.451923076923077</c:v>
                </c:pt>
                <c:pt idx="94">
                  <c:v>0.456730769230769</c:v>
                </c:pt>
                <c:pt idx="95">
                  <c:v>0.461538461538462</c:v>
                </c:pt>
                <c:pt idx="96">
                  <c:v>0.466346153846154</c:v>
                </c:pt>
                <c:pt idx="97">
                  <c:v>0.471153846153846</c:v>
                </c:pt>
                <c:pt idx="98">
                  <c:v>0.475961538461538</c:v>
                </c:pt>
                <c:pt idx="99">
                  <c:v>0.480769230769231</c:v>
                </c:pt>
                <c:pt idx="100">
                  <c:v>0.485576923076923</c:v>
                </c:pt>
                <c:pt idx="101">
                  <c:v>0.490384615384615</c:v>
                </c:pt>
                <c:pt idx="102">
                  <c:v>0.495192307692308</c:v>
                </c:pt>
                <c:pt idx="103">
                  <c:v>0.5</c:v>
                </c:pt>
                <c:pt idx="104">
                  <c:v>0.504807692307692</c:v>
                </c:pt>
                <c:pt idx="105">
                  <c:v>0.509615384615385</c:v>
                </c:pt>
                <c:pt idx="106">
                  <c:v>0.514423076923077</c:v>
                </c:pt>
                <c:pt idx="107">
                  <c:v>0.519230769230769</c:v>
                </c:pt>
                <c:pt idx="108">
                  <c:v>0.524038461538462</c:v>
                </c:pt>
                <c:pt idx="109">
                  <c:v>0.528846153846154</c:v>
                </c:pt>
                <c:pt idx="110">
                  <c:v>0.533653846153846</c:v>
                </c:pt>
                <c:pt idx="111">
                  <c:v>0.538461538461538</c:v>
                </c:pt>
                <c:pt idx="112">
                  <c:v>0.543269230769231</c:v>
                </c:pt>
                <c:pt idx="113">
                  <c:v>0.548076923076923</c:v>
                </c:pt>
                <c:pt idx="114">
                  <c:v>0.552884615384615</c:v>
                </c:pt>
                <c:pt idx="115">
                  <c:v>0.557692307692308</c:v>
                </c:pt>
                <c:pt idx="116">
                  <c:v>0.5625</c:v>
                </c:pt>
                <c:pt idx="117">
                  <c:v>0.567307692307692</c:v>
                </c:pt>
                <c:pt idx="118">
                  <c:v>0.572115384615385</c:v>
                </c:pt>
                <c:pt idx="119">
                  <c:v>0.576923076923077</c:v>
                </c:pt>
                <c:pt idx="120">
                  <c:v>0.581730769230769</c:v>
                </c:pt>
                <c:pt idx="121">
                  <c:v>0.586538461538462</c:v>
                </c:pt>
                <c:pt idx="122">
                  <c:v>0.591346153846154</c:v>
                </c:pt>
                <c:pt idx="123">
                  <c:v>0.596153846153846</c:v>
                </c:pt>
                <c:pt idx="124">
                  <c:v>0.600961538461538</c:v>
                </c:pt>
                <c:pt idx="125">
                  <c:v>0.605769230769231</c:v>
                </c:pt>
                <c:pt idx="126">
                  <c:v>0.610576923076923</c:v>
                </c:pt>
                <c:pt idx="127">
                  <c:v>0.615384615384615</c:v>
                </c:pt>
                <c:pt idx="128">
                  <c:v>0.620192307692308</c:v>
                </c:pt>
                <c:pt idx="129">
                  <c:v>0.625</c:v>
                </c:pt>
                <c:pt idx="130">
                  <c:v>0.629807692307692</c:v>
                </c:pt>
                <c:pt idx="131">
                  <c:v>0.634615384615384</c:v>
                </c:pt>
                <c:pt idx="132">
                  <c:v>0.639423076923077</c:v>
                </c:pt>
                <c:pt idx="133">
                  <c:v>0.644230769230769</c:v>
                </c:pt>
                <c:pt idx="134">
                  <c:v>0.649038461538461</c:v>
                </c:pt>
                <c:pt idx="135">
                  <c:v>0.653846153846154</c:v>
                </c:pt>
                <c:pt idx="136">
                  <c:v>0.658653846153846</c:v>
                </c:pt>
                <c:pt idx="137">
                  <c:v>0.663461538461538</c:v>
                </c:pt>
                <c:pt idx="138">
                  <c:v>0.668269230769231</c:v>
                </c:pt>
                <c:pt idx="139">
                  <c:v>0.673076923076923</c:v>
                </c:pt>
                <c:pt idx="140">
                  <c:v>0.677884615384615</c:v>
                </c:pt>
                <c:pt idx="141">
                  <c:v>0.682692307692308</c:v>
                </c:pt>
                <c:pt idx="142">
                  <c:v>0.6875</c:v>
                </c:pt>
                <c:pt idx="143">
                  <c:v>0.692307692307692</c:v>
                </c:pt>
                <c:pt idx="144">
                  <c:v>0.697115384615384</c:v>
                </c:pt>
                <c:pt idx="145">
                  <c:v>0.701923076923077</c:v>
                </c:pt>
                <c:pt idx="146">
                  <c:v>0.706730769230769</c:v>
                </c:pt>
                <c:pt idx="147">
                  <c:v>0.711538461538461</c:v>
                </c:pt>
                <c:pt idx="148">
                  <c:v>0.716346153846154</c:v>
                </c:pt>
                <c:pt idx="149">
                  <c:v>0.721153846153846</c:v>
                </c:pt>
                <c:pt idx="150">
                  <c:v>0.725961538461538</c:v>
                </c:pt>
                <c:pt idx="151">
                  <c:v>0.730769230769231</c:v>
                </c:pt>
                <c:pt idx="152">
                  <c:v>0.735576923076923</c:v>
                </c:pt>
                <c:pt idx="153">
                  <c:v>0.740384615384615</c:v>
                </c:pt>
                <c:pt idx="154">
                  <c:v>0.745192307692308</c:v>
                </c:pt>
                <c:pt idx="155">
                  <c:v>0.75</c:v>
                </c:pt>
                <c:pt idx="156">
                  <c:v>0.754807692307692</c:v>
                </c:pt>
                <c:pt idx="157">
                  <c:v>0.759615384615385</c:v>
                </c:pt>
                <c:pt idx="158">
                  <c:v>0.764423076923077</c:v>
                </c:pt>
                <c:pt idx="159">
                  <c:v>0.769230769230769</c:v>
                </c:pt>
                <c:pt idx="160">
                  <c:v>0.774038461538461</c:v>
                </c:pt>
                <c:pt idx="161">
                  <c:v>0.778846153846154</c:v>
                </c:pt>
                <c:pt idx="162">
                  <c:v>0.783653846153846</c:v>
                </c:pt>
                <c:pt idx="163">
                  <c:v>0.788461538461538</c:v>
                </c:pt>
                <c:pt idx="164">
                  <c:v>0.793269230769231</c:v>
                </c:pt>
                <c:pt idx="165">
                  <c:v>0.798076923076923</c:v>
                </c:pt>
                <c:pt idx="166">
                  <c:v>0.802884615384615</c:v>
                </c:pt>
                <c:pt idx="167">
                  <c:v>0.807692307692308</c:v>
                </c:pt>
                <c:pt idx="168">
                  <c:v>0.8125</c:v>
                </c:pt>
                <c:pt idx="169">
                  <c:v>0.817307692307692</c:v>
                </c:pt>
                <c:pt idx="170">
                  <c:v>0.822115384615385</c:v>
                </c:pt>
                <c:pt idx="171">
                  <c:v>0.826923076923077</c:v>
                </c:pt>
                <c:pt idx="172">
                  <c:v>0.831730769230769</c:v>
                </c:pt>
                <c:pt idx="173">
                  <c:v>0.836538461538462</c:v>
                </c:pt>
                <c:pt idx="174">
                  <c:v>0.841346153846154</c:v>
                </c:pt>
                <c:pt idx="175">
                  <c:v>0.846153846153846</c:v>
                </c:pt>
                <c:pt idx="176">
                  <c:v>0.850961538461538</c:v>
                </c:pt>
                <c:pt idx="177">
                  <c:v>0.855769230769231</c:v>
                </c:pt>
                <c:pt idx="178">
                  <c:v>0.860576923076923</c:v>
                </c:pt>
                <c:pt idx="179">
                  <c:v>0.865384615384615</c:v>
                </c:pt>
                <c:pt idx="180">
                  <c:v>0.870192307692308</c:v>
                </c:pt>
                <c:pt idx="181">
                  <c:v>0.875</c:v>
                </c:pt>
                <c:pt idx="182">
                  <c:v>0.879807692307692</c:v>
                </c:pt>
                <c:pt idx="183">
                  <c:v>0.884615384615385</c:v>
                </c:pt>
                <c:pt idx="184">
                  <c:v>0.889423076923077</c:v>
                </c:pt>
                <c:pt idx="185">
                  <c:v>0.894230769230769</c:v>
                </c:pt>
                <c:pt idx="186">
                  <c:v>0.899038461538461</c:v>
                </c:pt>
                <c:pt idx="187">
                  <c:v>0.903846153846154</c:v>
                </c:pt>
                <c:pt idx="188">
                  <c:v>0.908653846153846</c:v>
                </c:pt>
                <c:pt idx="189">
                  <c:v>0.913461538461538</c:v>
                </c:pt>
                <c:pt idx="190">
                  <c:v>0.918269230769231</c:v>
                </c:pt>
                <c:pt idx="191">
                  <c:v>0.923076923076923</c:v>
                </c:pt>
                <c:pt idx="192">
                  <c:v>0.927884615384615</c:v>
                </c:pt>
                <c:pt idx="193">
                  <c:v>0.932692307692308</c:v>
                </c:pt>
                <c:pt idx="194">
                  <c:v>0.9375</c:v>
                </c:pt>
                <c:pt idx="195">
                  <c:v>0.942307692307692</c:v>
                </c:pt>
                <c:pt idx="196">
                  <c:v>0.947115384615385</c:v>
                </c:pt>
                <c:pt idx="197">
                  <c:v>0.951923076923077</c:v>
                </c:pt>
                <c:pt idx="198">
                  <c:v>0.956730769230769</c:v>
                </c:pt>
                <c:pt idx="199">
                  <c:v>0.961538461538462</c:v>
                </c:pt>
                <c:pt idx="200">
                  <c:v>0.966346153846154</c:v>
                </c:pt>
                <c:pt idx="201">
                  <c:v>0.971153846153846</c:v>
                </c:pt>
                <c:pt idx="202">
                  <c:v>0.975961538461538</c:v>
                </c:pt>
                <c:pt idx="203">
                  <c:v>0.980769230769231</c:v>
                </c:pt>
                <c:pt idx="204">
                  <c:v>0.985576923076923</c:v>
                </c:pt>
                <c:pt idx="205">
                  <c:v>0.990384615384615</c:v>
                </c:pt>
                <c:pt idx="206">
                  <c:v>0.995192307692308</c:v>
                </c:pt>
                <c:pt idx="207">
                  <c:v>1.0</c:v>
                </c:pt>
              </c:numCache>
            </c:numRef>
          </c:yVal>
          <c:smooth val="1"/>
        </c:ser>
        <c:dLbls>
          <c:showLegendKey val="0"/>
          <c:showVal val="0"/>
          <c:showCatName val="0"/>
          <c:showSerName val="0"/>
          <c:showPercent val="0"/>
          <c:showBubbleSize val="0"/>
        </c:dLbls>
        <c:axId val="-1112968352"/>
        <c:axId val="-1112964960"/>
      </c:scatterChart>
      <c:valAx>
        <c:axId val="-1112968352"/>
        <c:scaling>
          <c:orientation val="minMax"/>
          <c:max val="2500.0"/>
          <c:min val="1000.0"/>
        </c:scaling>
        <c:delete val="0"/>
        <c:axPos val="b"/>
        <c:title>
          <c:tx>
            <c:rich>
              <a:bodyPr/>
              <a:lstStyle/>
              <a:p>
                <a:pPr>
                  <a:defRPr/>
                </a:pPr>
                <a:r>
                  <a:rPr lang="de-DE" b="0"/>
                  <a:t>Expert</a:t>
                </a:r>
                <a:r>
                  <a:rPr lang="de-DE" b="0" baseline="0"/>
                  <a:t> Forecasts</a:t>
                </a:r>
                <a:endParaRPr lang="de-DE" b="0"/>
              </a:p>
            </c:rich>
          </c:tx>
          <c:overlay val="0"/>
        </c:title>
        <c:numFmt formatCode="General" sourceLinked="1"/>
        <c:majorTickMark val="none"/>
        <c:minorTickMark val="none"/>
        <c:tickLblPos val="nextTo"/>
        <c:crossAx val="-1112964960"/>
        <c:crosses val="autoZero"/>
        <c:crossBetween val="midCat"/>
      </c:valAx>
      <c:valAx>
        <c:axId val="-1112964960"/>
        <c:scaling>
          <c:orientation val="minMax"/>
          <c:max val="1.0"/>
        </c:scaling>
        <c:delete val="0"/>
        <c:axPos val="l"/>
        <c:majorGridlines>
          <c:spPr>
            <a:ln>
              <a:solidFill>
                <a:schemeClr val="bg1"/>
              </a:solidFill>
            </a:ln>
          </c:spPr>
        </c:majorGridlines>
        <c:title>
          <c:tx>
            <c:rich>
              <a:bodyPr/>
              <a:lstStyle/>
              <a:p>
                <a:pPr>
                  <a:defRPr/>
                </a:pPr>
                <a:r>
                  <a:rPr lang="de-DE" b="0"/>
                  <a:t>Cumulative</a:t>
                </a:r>
                <a:r>
                  <a:rPr lang="de-DE" b="0" baseline="0"/>
                  <a:t> Fraction</a:t>
                </a:r>
                <a:endParaRPr lang="de-DE" b="0"/>
              </a:p>
            </c:rich>
          </c:tx>
          <c:overlay val="0"/>
        </c:title>
        <c:numFmt formatCode="General" sourceLinked="1"/>
        <c:majorTickMark val="none"/>
        <c:minorTickMark val="none"/>
        <c:tickLblPos val="nextTo"/>
        <c:crossAx val="-1112968352"/>
        <c:crosses val="autoZero"/>
        <c:crossBetween val="midCat"/>
      </c:valAx>
      <c:spPr>
        <a:noFill/>
        <a:ln>
          <a:solidFill>
            <a:schemeClr val="tx1"/>
          </a:solidFill>
        </a:ln>
      </c:spPr>
    </c:plotArea>
    <c:legend>
      <c:legendPos val="l"/>
      <c:legendEntry>
        <c:idx val="0"/>
        <c:delete val="1"/>
      </c:legendEntry>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x val="0.109162599654963"/>
          <c:y val="0.0625176120754788"/>
          <c:w val="0.213970588235294"/>
          <c:h val="0.0599765111389279"/>
        </c:manualLayout>
      </c:layout>
      <c:overlay val="1"/>
    </c:legend>
    <c:plotVisOnly val="1"/>
    <c:dispBlanksAs val="gap"/>
    <c:showDLblsOverMax val="0"/>
  </c:chart>
  <c:printSettings>
    <c:headerFooter/>
    <c:pageMargins b="0.787401575" l="0.700000000000001" r="0.700000000000001" t="0.7874015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51054759694271"/>
          <c:y val="0.0721901428988043"/>
          <c:w val="0.602459488314635"/>
          <c:h val="0.837516143815355"/>
        </c:manualLayout>
      </c:layout>
      <c:scatterChart>
        <c:scatterStyle val="lineMarker"/>
        <c:varyColors val="0"/>
        <c:ser>
          <c:idx val="1"/>
          <c:order val="0"/>
          <c:tx>
            <c:strRef>
              <c:f>'Beh Fig7'!$D$1</c:f>
              <c:strCache>
                <c:ptCount val="1"/>
                <c:pt idx="0">
                  <c:v>Actual Effort</c:v>
                </c:pt>
              </c:strCache>
            </c:strRef>
          </c:tx>
          <c:spPr>
            <a:ln w="28575">
              <a:noFill/>
            </a:ln>
            <a:effectLst>
              <a:softEdge rad="0"/>
            </a:effectLst>
          </c:spPr>
          <c:marker>
            <c:symbol val="circle"/>
            <c:size val="7"/>
            <c:spPr>
              <a:solidFill>
                <a:schemeClr val="tx1"/>
              </a:solidFill>
              <a:ln>
                <a:solidFill>
                  <a:schemeClr val="tx1"/>
                </a:solidFill>
              </a:ln>
              <a:effectLst>
                <a:softEdge rad="0"/>
              </a:effectLst>
            </c:spPr>
          </c:marker>
          <c:dPt>
            <c:idx val="14"/>
            <c:marker>
              <c:spPr>
                <a:solidFill>
                  <a:schemeClr val="tx1"/>
                </a:solidFill>
                <a:ln w="9525">
                  <a:solidFill>
                    <a:schemeClr val="tx1"/>
                  </a:solidFill>
                </a:ln>
                <a:effectLst>
                  <a:softEdge rad="0"/>
                </a:effectLst>
              </c:spPr>
            </c:marker>
            <c:bubble3D val="0"/>
          </c:dPt>
          <c:xVal>
            <c:numRef>
              <c:f>'Beh Fig7'!$D$2:$D$19</c:f>
              <c:numCache>
                <c:formatCode>0</c:formatCode>
                <c:ptCount val="18"/>
                <c:pt idx="0">
                  <c:v>1520.6796875</c:v>
                </c:pt>
                <c:pt idx="1">
                  <c:v>1601.899047851562</c:v>
                </c:pt>
                <c:pt idx="2">
                  <c:v>1739.5361328125</c:v>
                </c:pt>
                <c:pt idx="3">
                  <c:v>1761.292846679687</c:v>
                </c:pt>
                <c:pt idx="4">
                  <c:v>1848.364990234375</c:v>
                </c:pt>
                <c:pt idx="5">
                  <c:v>1883.193359375</c:v>
                </c:pt>
                <c:pt idx="6">
                  <c:v>1895.538696289062</c:v>
                </c:pt>
                <c:pt idx="7">
                  <c:v>1906.99462890625</c:v>
                </c:pt>
                <c:pt idx="8">
                  <c:v>1918.415283203125</c:v>
                </c:pt>
                <c:pt idx="9">
                  <c:v>1970.365478515625</c:v>
                </c:pt>
                <c:pt idx="10">
                  <c:v>1977.144409179687</c:v>
                </c:pt>
                <c:pt idx="11">
                  <c:v>2004.205932617187</c:v>
                </c:pt>
                <c:pt idx="12">
                  <c:v>2029.444458007812</c:v>
                </c:pt>
                <c:pt idx="13">
                  <c:v>2131.857666015625</c:v>
                </c:pt>
                <c:pt idx="14">
                  <c:v>2135.952392578124</c:v>
                </c:pt>
                <c:pt idx="15">
                  <c:v>2154.7724609375</c:v>
                </c:pt>
                <c:pt idx="16">
                  <c:v>2174.618408203125</c:v>
                </c:pt>
                <c:pt idx="17">
                  <c:v>2187.857177734374</c:v>
                </c:pt>
              </c:numCache>
            </c:numRef>
          </c:xVal>
          <c:yVal>
            <c:numRef>
              <c:f>'Beh Fig7'!$C$2:$C$19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ser>
          <c:idx val="2"/>
          <c:order val="1"/>
          <c:tx>
            <c:strRef>
              <c:f>'Beh Fig7'!$E$1</c:f>
              <c:strCache>
                <c:ptCount val="1"/>
                <c:pt idx="0">
                  <c:v>Std Econ</c:v>
                </c:pt>
              </c:strCache>
            </c:strRef>
          </c:tx>
          <c:spPr>
            <a:ln w="28575">
              <a:noFill/>
            </a:ln>
          </c:spPr>
          <c:marker>
            <c:symbol val="square"/>
            <c:size val="7"/>
            <c:spPr>
              <a:solidFill>
                <a:srgbClr val="F05700"/>
              </a:solidFill>
              <a:ln>
                <a:solidFill>
                  <a:srgbClr val="F05700"/>
                </a:solidFill>
              </a:ln>
            </c:spPr>
          </c:marker>
          <c:errBars>
            <c:errDir val="x"/>
            <c:errBarType val="plus"/>
            <c:errValType val="cust"/>
            <c:noEndCap val="1"/>
            <c:plus>
              <c:numLit>
                <c:formatCode>General</c:formatCode>
                <c:ptCount val="33"/>
                <c:pt idx="0">
                  <c:v>2.399999618530273</c:v>
                </c:pt>
                <c:pt idx="1">
                  <c:v>3.699999809265137</c:v>
                </c:pt>
                <c:pt idx="2">
                  <c:v>6.899999618530272</c:v>
                </c:pt>
                <c:pt idx="3">
                  <c:v>6.999999046325684</c:v>
                </c:pt>
                <c:pt idx="4">
                  <c:v>3.800000190734857</c:v>
                </c:pt>
                <c:pt idx="5">
                  <c:v>6.5</c:v>
                </c:pt>
                <c:pt idx="6">
                  <c:v>5.30000019073487</c:v>
                </c:pt>
                <c:pt idx="7">
                  <c:v>4.799999713897704</c:v>
                </c:pt>
                <c:pt idx="8">
                  <c:v>4.200000286102295</c:v>
                </c:pt>
                <c:pt idx="9">
                  <c:v>4.999999523162841</c:v>
                </c:pt>
                <c:pt idx="10">
                  <c:v>3.0</c:v>
                </c:pt>
                <c:pt idx="11">
                  <c:v>2.300000190734857</c:v>
                </c:pt>
                <c:pt idx="12">
                  <c:v>7.399999618530272</c:v>
                </c:pt>
                <c:pt idx="13">
                  <c:v>7.500000476837156</c:v>
                </c:pt>
                <c:pt idx="14">
                  <c:v>4.24374992772937</c:v>
                </c:pt>
                <c:pt idx="15">
                  <c:v>2.800000190734857</c:v>
                </c:pt>
                <c:pt idx="16">
                  <c:v>3.099999904632568</c:v>
                </c:pt>
                <c:pt idx="17">
                  <c:v>4.499999523162841</c:v>
                </c:pt>
                <c:pt idx="18">
                  <c:v>2.899999618530273</c:v>
                </c:pt>
                <c:pt idx="19">
                  <c:v>2.200000286102295</c:v>
                </c:pt>
                <c:pt idx="20">
                  <c:v>3.99999952316284</c:v>
                </c:pt>
                <c:pt idx="21">
                  <c:v>4.09999990463257</c:v>
                </c:pt>
                <c:pt idx="22">
                  <c:v>4.80000019073487</c:v>
                </c:pt>
                <c:pt idx="23">
                  <c:v>3.700000286102295</c:v>
                </c:pt>
                <c:pt idx="24">
                  <c:v>3.800000190734857</c:v>
                </c:pt>
                <c:pt idx="25">
                  <c:v>3.200000047683716</c:v>
                </c:pt>
                <c:pt idx="26">
                  <c:v>3.800000190734857</c:v>
                </c:pt>
                <c:pt idx="27">
                  <c:v>3.099999904632568</c:v>
                </c:pt>
                <c:pt idx="28">
                  <c:v>3.399999856948852</c:v>
                </c:pt>
                <c:pt idx="29">
                  <c:v>7.500000238418576</c:v>
                </c:pt>
                <c:pt idx="30">
                  <c:v>5.399999618530272</c:v>
                </c:pt>
                <c:pt idx="31">
                  <c:v>0.600000023841858</c:v>
                </c:pt>
                <c:pt idx="32">
                  <c:v>3.099999904632568</c:v>
                </c:pt>
              </c:numLit>
            </c:plus>
            <c:spPr>
              <a:ln w="12700">
                <a:noFill/>
              </a:ln>
            </c:spPr>
          </c:errBars>
          <c:xVal>
            <c:numRef>
              <c:f>'Beh Fig7'!$E$2:$E$19</c:f>
              <c:numCache>
                <c:formatCode>General</c:formatCode>
                <c:ptCount val="18"/>
                <c:pt idx="1">
                  <c:v>1729.056</c:v>
                </c:pt>
                <c:pt idx="2">
                  <c:v>1777.296</c:v>
                </c:pt>
                <c:pt idx="3">
                  <c:v>1830.833</c:v>
                </c:pt>
                <c:pt idx="4">
                  <c:v>1899.241</c:v>
                </c:pt>
                <c:pt idx="5">
                  <c:v>1684.519</c:v>
                </c:pt>
                <c:pt idx="6">
                  <c:v>1983.315</c:v>
                </c:pt>
                <c:pt idx="7">
                  <c:v>1864.167</c:v>
                </c:pt>
                <c:pt idx="8">
                  <c:v>1999.796</c:v>
                </c:pt>
                <c:pt idx="9">
                  <c:v>1885.796</c:v>
                </c:pt>
                <c:pt idx="10">
                  <c:v>1953.111</c:v>
                </c:pt>
                <c:pt idx="11">
                  <c:v>1927.963</c:v>
                </c:pt>
                <c:pt idx="13">
                  <c:v>2068.907</c:v>
                </c:pt>
                <c:pt idx="14">
                  <c:v>1963.648</c:v>
                </c:pt>
                <c:pt idx="15">
                  <c:v>2012.111</c:v>
                </c:pt>
                <c:pt idx="17">
                  <c:v>2015.019</c:v>
                </c:pt>
              </c:numCache>
            </c:numRef>
          </c:xVal>
          <c:yVal>
            <c:numRef>
              <c:f>'Beh Fig7'!$C$2:$C$19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ser>
          <c:idx val="0"/>
          <c:order val="2"/>
          <c:tx>
            <c:strRef>
              <c:f>'Beh Fig7'!$F$1</c:f>
              <c:strCache>
                <c:ptCount val="1"/>
                <c:pt idx="0">
                  <c:v>Lab Econ</c:v>
                </c:pt>
              </c:strCache>
            </c:strRef>
          </c:tx>
          <c:spPr>
            <a:ln w="28575">
              <a:noFill/>
            </a:ln>
          </c:spPr>
          <c:marker>
            <c:symbol val="circle"/>
            <c:size val="7"/>
            <c:spPr>
              <a:solidFill>
                <a:schemeClr val="bg1"/>
              </a:solidFill>
              <a:ln>
                <a:solidFill>
                  <a:schemeClr val="tx1"/>
                </a:solidFill>
              </a:ln>
            </c:spPr>
          </c:marker>
          <c:xVal>
            <c:numRef>
              <c:f>'Beh Fig7'!$F$2:$F$19</c:f>
              <c:numCache>
                <c:formatCode>General</c:formatCode>
                <c:ptCount val="18"/>
                <c:pt idx="1">
                  <c:v>1687.364</c:v>
                </c:pt>
                <c:pt idx="2">
                  <c:v>1743.151</c:v>
                </c:pt>
                <c:pt idx="3">
                  <c:v>1909.242</c:v>
                </c:pt>
                <c:pt idx="4">
                  <c:v>1881.849</c:v>
                </c:pt>
                <c:pt idx="5">
                  <c:v>1612.03</c:v>
                </c:pt>
                <c:pt idx="6">
                  <c:v>2013.151</c:v>
                </c:pt>
                <c:pt idx="7">
                  <c:v>1901.697</c:v>
                </c:pt>
                <c:pt idx="8">
                  <c:v>2016.333</c:v>
                </c:pt>
                <c:pt idx="9">
                  <c:v>1908.697</c:v>
                </c:pt>
                <c:pt idx="10">
                  <c:v>2036.879</c:v>
                </c:pt>
                <c:pt idx="11">
                  <c:v>1959.606</c:v>
                </c:pt>
                <c:pt idx="13">
                  <c:v>2076.303</c:v>
                </c:pt>
                <c:pt idx="14">
                  <c:v>1967.879</c:v>
                </c:pt>
                <c:pt idx="15">
                  <c:v>1989.727</c:v>
                </c:pt>
                <c:pt idx="17">
                  <c:v>2009.394</c:v>
                </c:pt>
              </c:numCache>
            </c:numRef>
          </c:xVal>
          <c:yVal>
            <c:numRef>
              <c:f>'Beh Fig7'!$C$2:$C$19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ser>
          <c:idx val="3"/>
          <c:order val="3"/>
          <c:tx>
            <c:strRef>
              <c:f>'Beh Fig7'!$G$1</c:f>
              <c:strCache>
                <c:ptCount val="1"/>
                <c:pt idx="0">
                  <c:v>Beh Econ</c:v>
                </c:pt>
              </c:strCache>
            </c:strRef>
          </c:tx>
          <c:spPr>
            <a:ln w="28575">
              <a:noFill/>
            </a:ln>
          </c:spPr>
          <c:marker>
            <c:symbol val="triangle"/>
            <c:size val="7"/>
            <c:spPr>
              <a:solidFill>
                <a:srgbClr val="00B050"/>
              </a:solidFill>
              <a:ln>
                <a:solidFill>
                  <a:srgbClr val="00B050"/>
                </a:solidFill>
              </a:ln>
            </c:spPr>
          </c:marker>
          <c:xVal>
            <c:numRef>
              <c:f>'Beh Fig7'!$G$2:$G$19</c:f>
              <c:numCache>
                <c:formatCode>General</c:formatCode>
                <c:ptCount val="18"/>
                <c:pt idx="1">
                  <c:v>1700.573</c:v>
                </c:pt>
                <c:pt idx="2">
                  <c:v>1766.2</c:v>
                </c:pt>
                <c:pt idx="3">
                  <c:v>1846.027</c:v>
                </c:pt>
                <c:pt idx="4">
                  <c:v>1854.787</c:v>
                </c:pt>
                <c:pt idx="5">
                  <c:v>1635.667</c:v>
                </c:pt>
                <c:pt idx="6">
                  <c:v>1959.707</c:v>
                </c:pt>
                <c:pt idx="7">
                  <c:v>1891.96</c:v>
                </c:pt>
                <c:pt idx="8">
                  <c:v>1984.56</c:v>
                </c:pt>
                <c:pt idx="9">
                  <c:v>1905.507</c:v>
                </c:pt>
                <c:pt idx="10">
                  <c:v>1929.413</c:v>
                </c:pt>
                <c:pt idx="11">
                  <c:v>1939.6</c:v>
                </c:pt>
                <c:pt idx="13">
                  <c:v>2054.32</c:v>
                </c:pt>
                <c:pt idx="14">
                  <c:v>1927.093</c:v>
                </c:pt>
                <c:pt idx="15">
                  <c:v>1985.147</c:v>
                </c:pt>
                <c:pt idx="17">
                  <c:v>1991.427</c:v>
                </c:pt>
              </c:numCache>
            </c:numRef>
          </c:xVal>
          <c:yVal>
            <c:numRef>
              <c:f>'Beh Fig7'!$C$2:$C$19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ser>
          <c:idx val="4"/>
          <c:order val="4"/>
          <c:tx>
            <c:strRef>
              <c:f>'Beh Fig7'!$H$1</c:f>
              <c:strCache>
                <c:ptCount val="1"/>
                <c:pt idx="0">
                  <c:v>Psych</c:v>
                </c:pt>
              </c:strCache>
            </c:strRef>
          </c:tx>
          <c:spPr>
            <a:ln w="28575">
              <a:noFill/>
            </a:ln>
          </c:spPr>
          <c:xVal>
            <c:numRef>
              <c:f>'Beh Fig7'!$H$2:$H$19</c:f>
              <c:numCache>
                <c:formatCode>General</c:formatCode>
                <c:ptCount val="18"/>
                <c:pt idx="1">
                  <c:v>1716.804</c:v>
                </c:pt>
                <c:pt idx="2">
                  <c:v>1727.848</c:v>
                </c:pt>
                <c:pt idx="3">
                  <c:v>1835.957</c:v>
                </c:pt>
                <c:pt idx="4">
                  <c:v>1885.196</c:v>
                </c:pt>
                <c:pt idx="5">
                  <c:v>1693.696</c:v>
                </c:pt>
                <c:pt idx="6">
                  <c:v>1925.239</c:v>
                </c:pt>
                <c:pt idx="7">
                  <c:v>1925.022</c:v>
                </c:pt>
                <c:pt idx="8">
                  <c:v>1998.261</c:v>
                </c:pt>
                <c:pt idx="9">
                  <c:v>1879.717</c:v>
                </c:pt>
                <c:pt idx="10">
                  <c:v>1878.63</c:v>
                </c:pt>
                <c:pt idx="11">
                  <c:v>1907.565</c:v>
                </c:pt>
                <c:pt idx="13">
                  <c:v>2031.326</c:v>
                </c:pt>
                <c:pt idx="14">
                  <c:v>1982.413</c:v>
                </c:pt>
                <c:pt idx="15">
                  <c:v>2028.543</c:v>
                </c:pt>
                <c:pt idx="17">
                  <c:v>2022.217</c:v>
                </c:pt>
              </c:numCache>
            </c:numRef>
          </c:xVal>
          <c:yVal>
            <c:numRef>
              <c:f>'Beh Fig7'!$C$2:$C$19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dLbls>
          <c:showLegendKey val="0"/>
          <c:showVal val="0"/>
          <c:showCatName val="0"/>
          <c:showSerName val="0"/>
          <c:showPercent val="0"/>
          <c:showBubbleSize val="0"/>
        </c:dLbls>
        <c:axId val="-1112316304"/>
        <c:axId val="-1112312912"/>
      </c:scatterChart>
      <c:valAx>
        <c:axId val="-1112316304"/>
        <c:scaling>
          <c:orientation val="minMax"/>
          <c:max val="2250.0"/>
          <c:min val="1400.0"/>
        </c:scaling>
        <c:delete val="0"/>
        <c:axPos val="b"/>
        <c:title>
          <c:tx>
            <c:rich>
              <a:bodyPr/>
              <a:lstStyle/>
              <a:p>
                <a:pPr>
                  <a:defRPr/>
                </a:pPr>
                <a:r>
                  <a:rPr lang="en-US"/>
                  <a:t>Button Presses</a:t>
                </a:r>
              </a:p>
            </c:rich>
          </c:tx>
          <c:layout>
            <c:manualLayout>
              <c:xMode val="edge"/>
              <c:yMode val="edge"/>
              <c:x val="0.604514787165333"/>
              <c:y val="0.941325298191079"/>
            </c:manualLayout>
          </c:layout>
          <c:overlay val="0"/>
        </c:title>
        <c:numFmt formatCode="0" sourceLinked="0"/>
        <c:majorTickMark val="out"/>
        <c:minorTickMark val="none"/>
        <c:tickLblPos val="nextTo"/>
        <c:txPr>
          <a:bodyPr rot="0" vert="horz"/>
          <a:lstStyle/>
          <a:p>
            <a:pPr>
              <a:defRPr/>
            </a:pPr>
            <a:endParaRPr lang="en-US"/>
          </a:p>
        </c:txPr>
        <c:crossAx val="-1112312912"/>
        <c:crosses val="autoZero"/>
        <c:crossBetween val="midCat"/>
      </c:valAx>
      <c:valAx>
        <c:axId val="-1112312912"/>
        <c:scaling>
          <c:orientation val="minMax"/>
          <c:max val="1.0"/>
          <c:min val="0.0"/>
        </c:scaling>
        <c:delete val="0"/>
        <c:axPos val="r"/>
        <c:numFmt formatCode="0.00" sourceLinked="1"/>
        <c:majorTickMark val="none"/>
        <c:minorTickMark val="none"/>
        <c:tickLblPos val="none"/>
        <c:spPr>
          <a:ln>
            <a:noFill/>
          </a:ln>
        </c:spPr>
        <c:crossAx val="-1112316304"/>
        <c:crosses val="max"/>
        <c:crossBetween val="midCat"/>
        <c:majorUnit val="0.5"/>
      </c:valAx>
    </c:plotArea>
    <c:legend>
      <c:legendPos val="b"/>
      <c:layout>
        <c:manualLayout>
          <c:xMode val="edge"/>
          <c:yMode val="edge"/>
          <c:x val="0.464591549625004"/>
          <c:y val="0.964230186003087"/>
          <c:w val="0.437209383467924"/>
          <c:h val="0.0289011320231313"/>
        </c:manualLayout>
      </c:layout>
      <c:overlay val="0"/>
    </c:legend>
    <c:plotVisOnly val="1"/>
    <c:dispBlanksAs val="gap"/>
    <c:showDLblsOverMax val="0"/>
  </c:chart>
  <c:spPr>
    <a:ln>
      <a:noFill/>
    </a:ln>
  </c:spPr>
  <c:txPr>
    <a:bodyPr/>
    <a:lstStyle/>
    <a:p>
      <a:pPr>
        <a:defRPr sz="1100">
          <a:latin typeface="Calibri" charset="0"/>
          <a:ea typeface="Calibri" charset="0"/>
          <a:cs typeface="Calibri"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52290334628101"/>
          <c:y val="0.0721901428988043"/>
          <c:w val="0.601223906630181"/>
          <c:h val="0.840988353018373"/>
        </c:manualLayout>
      </c:layout>
      <c:scatterChart>
        <c:scatterStyle val="lineMarker"/>
        <c:varyColors val="0"/>
        <c:ser>
          <c:idx val="1"/>
          <c:order val="0"/>
          <c:tx>
            <c:strRef>
              <c:f>'Beh OAFig6'!$C$1</c:f>
              <c:strCache>
                <c:ptCount val="1"/>
                <c:pt idx="0">
                  <c:v>Actual Effort</c:v>
                </c:pt>
              </c:strCache>
            </c:strRef>
          </c:tx>
          <c:spPr>
            <a:ln w="28575">
              <a:noFill/>
            </a:ln>
            <a:effectLst>
              <a:softEdge rad="0"/>
            </a:effectLst>
          </c:spPr>
          <c:marker>
            <c:symbol val="circle"/>
            <c:size val="7"/>
            <c:spPr>
              <a:solidFill>
                <a:schemeClr val="tx1"/>
              </a:solidFill>
              <a:ln>
                <a:solidFill>
                  <a:schemeClr val="tx1"/>
                </a:solidFill>
              </a:ln>
              <a:effectLst>
                <a:softEdge rad="0"/>
              </a:effectLst>
            </c:spPr>
          </c:marker>
          <c:dPt>
            <c:idx val="14"/>
            <c:marker>
              <c:spPr>
                <a:solidFill>
                  <a:schemeClr val="tx1"/>
                </a:solidFill>
                <a:ln w="9525">
                  <a:solidFill>
                    <a:schemeClr val="tx1"/>
                  </a:solidFill>
                </a:ln>
                <a:effectLst>
                  <a:softEdge rad="0"/>
                </a:effectLst>
              </c:spPr>
            </c:marker>
            <c:bubble3D val="0"/>
          </c:dPt>
          <c:xVal>
            <c:numRef>
              <c:f>'Beh OAFig6'!$C$2:$C$19</c:f>
              <c:numCache>
                <c:formatCode>0.0</c:formatCode>
                <c:ptCount val="18"/>
                <c:pt idx="0">
                  <c:v>1520.6796875</c:v>
                </c:pt>
                <c:pt idx="1">
                  <c:v>1601.899047851562</c:v>
                </c:pt>
                <c:pt idx="2">
                  <c:v>1739.5361328125</c:v>
                </c:pt>
                <c:pt idx="3">
                  <c:v>1761.292846679687</c:v>
                </c:pt>
                <c:pt idx="4">
                  <c:v>1848.364990234375</c:v>
                </c:pt>
                <c:pt idx="5">
                  <c:v>1883.193359375</c:v>
                </c:pt>
                <c:pt idx="6">
                  <c:v>1895.538696289062</c:v>
                </c:pt>
                <c:pt idx="7">
                  <c:v>1906.99462890625</c:v>
                </c:pt>
                <c:pt idx="8">
                  <c:v>1918.415283203125</c:v>
                </c:pt>
                <c:pt idx="9">
                  <c:v>1970.365478515625</c:v>
                </c:pt>
                <c:pt idx="10">
                  <c:v>1977.144409179687</c:v>
                </c:pt>
                <c:pt idx="11">
                  <c:v>2004.205932617187</c:v>
                </c:pt>
                <c:pt idx="12">
                  <c:v>2029.444458007812</c:v>
                </c:pt>
                <c:pt idx="13">
                  <c:v>2131.857666015625</c:v>
                </c:pt>
                <c:pt idx="14">
                  <c:v>2135.952392578124</c:v>
                </c:pt>
                <c:pt idx="15">
                  <c:v>2154.7724609375</c:v>
                </c:pt>
                <c:pt idx="16">
                  <c:v>2174.618408203125</c:v>
                </c:pt>
                <c:pt idx="17">
                  <c:v>2187.857177734374</c:v>
                </c:pt>
              </c:numCache>
            </c:numRef>
          </c:xVal>
          <c:yVal>
            <c:numRef>
              <c:f>'Beh OAFig6'!$E$2:$E$19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ser>
          <c:idx val="2"/>
          <c:order val="1"/>
          <c:tx>
            <c:strRef>
              <c:f>'Beh OAFig6'!$D$1</c:f>
              <c:strCache>
                <c:ptCount val="1"/>
                <c:pt idx="0">
                  <c:v>Bayesian Shrinkage</c:v>
                </c:pt>
              </c:strCache>
            </c:strRef>
          </c:tx>
          <c:spPr>
            <a:ln w="28575">
              <a:noFill/>
            </a:ln>
          </c:spPr>
          <c:marker>
            <c:symbol val="triangle"/>
            <c:size val="5"/>
            <c:spPr>
              <a:solidFill>
                <a:srgbClr val="F05700"/>
              </a:solidFill>
              <a:ln>
                <a:solidFill>
                  <a:srgbClr val="F05700"/>
                </a:solidFill>
              </a:ln>
            </c:spPr>
          </c:marker>
          <c:errBars>
            <c:errDir val="x"/>
            <c:errBarType val="plus"/>
            <c:errValType val="cust"/>
            <c:noEndCap val="1"/>
            <c:plus>
              <c:numLit>
                <c:formatCode>General</c:formatCode>
                <c:ptCount val="33"/>
                <c:pt idx="0">
                  <c:v>2.399999618530273</c:v>
                </c:pt>
                <c:pt idx="1">
                  <c:v>3.699999809265137</c:v>
                </c:pt>
                <c:pt idx="2">
                  <c:v>6.899999618530272</c:v>
                </c:pt>
                <c:pt idx="3">
                  <c:v>6.999999046325684</c:v>
                </c:pt>
                <c:pt idx="4">
                  <c:v>3.800000190734857</c:v>
                </c:pt>
                <c:pt idx="5">
                  <c:v>6.5</c:v>
                </c:pt>
                <c:pt idx="6">
                  <c:v>5.30000019073487</c:v>
                </c:pt>
                <c:pt idx="7">
                  <c:v>4.799999713897704</c:v>
                </c:pt>
                <c:pt idx="8">
                  <c:v>4.200000286102295</c:v>
                </c:pt>
                <c:pt idx="9">
                  <c:v>4.999999523162841</c:v>
                </c:pt>
                <c:pt idx="10">
                  <c:v>3.0</c:v>
                </c:pt>
                <c:pt idx="11">
                  <c:v>2.300000190734857</c:v>
                </c:pt>
                <c:pt idx="12">
                  <c:v>7.399999618530272</c:v>
                </c:pt>
                <c:pt idx="13">
                  <c:v>7.500000476837156</c:v>
                </c:pt>
                <c:pt idx="14">
                  <c:v>4.24374992772937</c:v>
                </c:pt>
                <c:pt idx="15">
                  <c:v>2.800000190734857</c:v>
                </c:pt>
                <c:pt idx="16">
                  <c:v>3.099999904632568</c:v>
                </c:pt>
                <c:pt idx="17">
                  <c:v>4.499999523162841</c:v>
                </c:pt>
                <c:pt idx="18">
                  <c:v>2.899999618530273</c:v>
                </c:pt>
                <c:pt idx="19">
                  <c:v>2.200000286102295</c:v>
                </c:pt>
                <c:pt idx="20">
                  <c:v>3.99999952316284</c:v>
                </c:pt>
                <c:pt idx="21">
                  <c:v>4.09999990463257</c:v>
                </c:pt>
                <c:pt idx="22">
                  <c:v>4.80000019073487</c:v>
                </c:pt>
                <c:pt idx="23">
                  <c:v>3.700000286102295</c:v>
                </c:pt>
                <c:pt idx="24">
                  <c:v>3.800000190734857</c:v>
                </c:pt>
                <c:pt idx="25">
                  <c:v>3.200000047683716</c:v>
                </c:pt>
                <c:pt idx="26">
                  <c:v>3.800000190734857</c:v>
                </c:pt>
                <c:pt idx="27">
                  <c:v>3.099999904632568</c:v>
                </c:pt>
                <c:pt idx="28">
                  <c:v>3.399999856948852</c:v>
                </c:pt>
                <c:pt idx="29">
                  <c:v>7.500000238418576</c:v>
                </c:pt>
                <c:pt idx="30">
                  <c:v>5.399999618530272</c:v>
                </c:pt>
                <c:pt idx="31">
                  <c:v>0.600000023841858</c:v>
                </c:pt>
                <c:pt idx="32">
                  <c:v>3.099999904632568</c:v>
                </c:pt>
              </c:numLit>
            </c:plus>
            <c:spPr>
              <a:ln w="12700">
                <a:noFill/>
              </a:ln>
            </c:spPr>
          </c:errBars>
          <c:xVal>
            <c:numRef>
              <c:f>'Beh OAFig6'!$D$2:$D$19</c:f>
              <c:numCache>
                <c:formatCode>0.0</c:formatCode>
                <c:ptCount val="18"/>
                <c:pt idx="0">
                  <c:v>1531.33056640625</c:v>
                </c:pt>
                <c:pt idx="1">
                  <c:v>1609.701538085937</c:v>
                </c:pt>
                <c:pt idx="2">
                  <c:v>1743.822509765625</c:v>
                </c:pt>
                <c:pt idx="3">
                  <c:v>1765.603881835937</c:v>
                </c:pt>
                <c:pt idx="4">
                  <c:v>1850.735595703125</c:v>
                </c:pt>
                <c:pt idx="5">
                  <c:v>1884.328857421875</c:v>
                </c:pt>
                <c:pt idx="6">
                  <c:v>1896.396728515625</c:v>
                </c:pt>
                <c:pt idx="7">
                  <c:v>1907.542602539062</c:v>
                </c:pt>
                <c:pt idx="8">
                  <c:v>1918.72314453125</c:v>
                </c:pt>
                <c:pt idx="9">
                  <c:v>1969.611694335937</c:v>
                </c:pt>
                <c:pt idx="10">
                  <c:v>1976.47021484375</c:v>
                </c:pt>
                <c:pt idx="11">
                  <c:v>2002.845336914062</c:v>
                </c:pt>
                <c:pt idx="12">
                  <c:v>2027.571166992187</c:v>
                </c:pt>
                <c:pt idx="13">
                  <c:v>2128.22802734375</c:v>
                </c:pt>
                <c:pt idx="14">
                  <c:v>2132.716064453125</c:v>
                </c:pt>
                <c:pt idx="15">
                  <c:v>2151.66259765625</c:v>
                </c:pt>
                <c:pt idx="16">
                  <c:v>2170.87158203125</c:v>
                </c:pt>
                <c:pt idx="17">
                  <c:v>2184.30810546875</c:v>
                </c:pt>
              </c:numCache>
            </c:numRef>
          </c:xVal>
          <c:yVal>
            <c:numRef>
              <c:f>'Beh OAFig6'!$E$2:$E$19</c:f>
              <c:numCache>
                <c:formatCode>0.00</c:formatCode>
                <c:ptCount val="18"/>
                <c:pt idx="0">
                  <c:v>0.972222222222222</c:v>
                </c:pt>
                <c:pt idx="1">
                  <c:v>0.916666666666667</c:v>
                </c:pt>
                <c:pt idx="2">
                  <c:v>0.861111111111111</c:v>
                </c:pt>
                <c:pt idx="3">
                  <c:v>0.805555555555556</c:v>
                </c:pt>
                <c:pt idx="4">
                  <c:v>0.75</c:v>
                </c:pt>
                <c:pt idx="5">
                  <c:v>0.694444444444444</c:v>
                </c:pt>
                <c:pt idx="6">
                  <c:v>0.638888888888889</c:v>
                </c:pt>
                <c:pt idx="7">
                  <c:v>0.583333333333333</c:v>
                </c:pt>
                <c:pt idx="8">
                  <c:v>0.527777777777778</c:v>
                </c:pt>
                <c:pt idx="9">
                  <c:v>0.472222222222222</c:v>
                </c:pt>
                <c:pt idx="10">
                  <c:v>0.416666666666667</c:v>
                </c:pt>
                <c:pt idx="11">
                  <c:v>0.361111111111111</c:v>
                </c:pt>
                <c:pt idx="12">
                  <c:v>0.305555555555556</c:v>
                </c:pt>
                <c:pt idx="13">
                  <c:v>0.25</c:v>
                </c:pt>
                <c:pt idx="14">
                  <c:v>0.194444444444444</c:v>
                </c:pt>
                <c:pt idx="15">
                  <c:v>0.138888888888889</c:v>
                </c:pt>
                <c:pt idx="16">
                  <c:v>0.0833333333333333</c:v>
                </c:pt>
                <c:pt idx="17">
                  <c:v>0.0277777777777778</c:v>
                </c:pt>
              </c:numCache>
            </c:numRef>
          </c:yVal>
          <c:smooth val="0"/>
        </c:ser>
        <c:dLbls>
          <c:showLegendKey val="0"/>
          <c:showVal val="0"/>
          <c:showCatName val="0"/>
          <c:showSerName val="0"/>
          <c:showPercent val="0"/>
          <c:showBubbleSize val="0"/>
        </c:dLbls>
        <c:axId val="-1112952848"/>
        <c:axId val="-1112941776"/>
      </c:scatterChart>
      <c:valAx>
        <c:axId val="-1112952848"/>
        <c:scaling>
          <c:orientation val="minMax"/>
          <c:max val="2250.0"/>
          <c:min val="1400.0"/>
        </c:scaling>
        <c:delete val="0"/>
        <c:axPos val="b"/>
        <c:title>
          <c:tx>
            <c:rich>
              <a:bodyPr/>
              <a:lstStyle/>
              <a:p>
                <a:pPr>
                  <a:defRPr sz="1200">
                    <a:latin typeface="Calibri" charset="0"/>
                    <a:ea typeface="Calibri" charset="0"/>
                    <a:cs typeface="Calibri" charset="0"/>
                  </a:defRPr>
                </a:pPr>
                <a:r>
                  <a:rPr lang="en-US" sz="1200">
                    <a:latin typeface="Calibri" charset="0"/>
                    <a:ea typeface="Calibri" charset="0"/>
                    <a:cs typeface="Calibri" charset="0"/>
                  </a:rPr>
                  <a:t>Button Presses</a:t>
                </a:r>
              </a:p>
            </c:rich>
          </c:tx>
          <c:layout>
            <c:manualLayout>
              <c:xMode val="edge"/>
              <c:yMode val="edge"/>
              <c:x val="0.601332488019921"/>
              <c:y val="0.939608117801279"/>
            </c:manualLayout>
          </c:layout>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charset="0"/>
                <a:ea typeface="Calibri" charset="0"/>
                <a:cs typeface="Calibri" charset="0"/>
              </a:defRPr>
            </a:pPr>
            <a:endParaRPr lang="en-US"/>
          </a:p>
        </c:txPr>
        <c:crossAx val="-1112941776"/>
        <c:crosses val="autoZero"/>
        <c:crossBetween val="midCat"/>
      </c:valAx>
      <c:valAx>
        <c:axId val="-1112941776"/>
        <c:scaling>
          <c:orientation val="minMax"/>
          <c:max val="1.0"/>
          <c:min val="0.0"/>
        </c:scaling>
        <c:delete val="0"/>
        <c:axPos val="r"/>
        <c:numFmt formatCode="0.00" sourceLinked="1"/>
        <c:majorTickMark val="none"/>
        <c:minorTickMark val="none"/>
        <c:tickLblPos val="none"/>
        <c:spPr>
          <a:ln>
            <a:noFill/>
          </a:ln>
        </c:spPr>
        <c:crossAx val="-1112952848"/>
        <c:crosses val="max"/>
        <c:crossBetween val="midCat"/>
        <c:majorUnit val="0.5"/>
      </c:valAx>
    </c:plotArea>
    <c:legend>
      <c:legendPos val="b"/>
      <c:layout>
        <c:manualLayout>
          <c:xMode val="edge"/>
          <c:yMode val="edge"/>
          <c:x val="0.497359548903857"/>
          <c:y val="0.964253577515483"/>
          <c:w val="0.280776209379926"/>
          <c:h val="0.0289011320231313"/>
        </c:manualLayout>
      </c:layout>
      <c:overlay val="0"/>
      <c:txPr>
        <a:bodyPr/>
        <a:lstStyle/>
        <a:p>
          <a:pPr>
            <a:defRPr sz="1100">
              <a:latin typeface="Calibri" charset="0"/>
              <a:ea typeface="Calibri" charset="0"/>
              <a:cs typeface="Calibri" charset="0"/>
            </a:defRPr>
          </a:pPr>
          <a:endParaRPr lang="en-US"/>
        </a:p>
      </c:txPr>
    </c:legend>
    <c:plotVisOnly val="1"/>
    <c:dispBlanksAs val="gap"/>
    <c:showDLblsOverMax val="0"/>
  </c:chart>
  <c:spPr>
    <a:ln>
      <a:noFill/>
    </a:ln>
  </c:spPr>
  <c:txPr>
    <a:bodyPr/>
    <a:lstStyle/>
    <a:p>
      <a:pPr>
        <a:defRPr>
          <a:latin typeface="Cabin" pitchFamily="34" charset="0"/>
        </a:defRPr>
      </a:pPr>
      <a:endParaRPr lang="en-US"/>
    </a:p>
  </c:txPr>
  <c:printSettings>
    <c:headerFooter/>
    <c:pageMargins b="0.750000000000001" l="0.700000000000001" r="0.700000000000001" t="0.750000000000001" header="0.3" footer="0.3"/>
    <c:pageSetup orientation="portrait"/>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241300</xdr:colOff>
      <xdr:row>12</xdr:row>
      <xdr:rowOff>139700</xdr:rowOff>
    </xdr:from>
    <xdr:to>
      <xdr:col>3</xdr:col>
      <xdr:colOff>555625</xdr:colOff>
      <xdr:row>12</xdr:row>
      <xdr:rowOff>349250</xdr:rowOff>
    </xdr:to>
    <xdr:pic>
      <xdr:nvPicPr>
        <xdr:cNvPr id="2" name="Picture 6"/>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5508625" y="3511550"/>
          <a:ext cx="314325" cy="209550"/>
        </a:xfrm>
        <a:prstGeom prst="rect">
          <a:avLst/>
        </a:prstGeom>
        <a:noFill/>
      </xdr:spPr>
    </xdr:pic>
    <xdr:clientData/>
  </xdr:twoCellAnchor>
  <xdr:twoCellAnchor>
    <xdr:from>
      <xdr:col>3</xdr:col>
      <xdr:colOff>279400</xdr:colOff>
      <xdr:row>20</xdr:row>
      <xdr:rowOff>127000</xdr:rowOff>
    </xdr:from>
    <xdr:to>
      <xdr:col>3</xdr:col>
      <xdr:colOff>574675</xdr:colOff>
      <xdr:row>20</xdr:row>
      <xdr:rowOff>336550</xdr:rowOff>
    </xdr:to>
    <xdr:pic>
      <xdr:nvPicPr>
        <xdr:cNvPr id="4" name="Picture 8"/>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5546725" y="7175500"/>
          <a:ext cx="295275" cy="209550"/>
        </a:xfrm>
        <a:prstGeom prst="rect">
          <a:avLst/>
        </a:prstGeom>
        <a:noFill/>
      </xdr:spPr>
    </xdr:pic>
    <xdr:clientData/>
  </xdr:twoCellAnchor>
  <xdr:twoCellAnchor>
    <xdr:from>
      <xdr:col>3</xdr:col>
      <xdr:colOff>279400</xdr:colOff>
      <xdr:row>21</xdr:row>
      <xdr:rowOff>215900</xdr:rowOff>
    </xdr:from>
    <xdr:to>
      <xdr:col>3</xdr:col>
      <xdr:colOff>517525</xdr:colOff>
      <xdr:row>21</xdr:row>
      <xdr:rowOff>425450</xdr:rowOff>
    </xdr:to>
    <xdr:pic>
      <xdr:nvPicPr>
        <xdr:cNvPr id="5" name="Picture 9"/>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blip>
        <a:srcRect/>
        <a:stretch>
          <a:fillRect/>
        </a:stretch>
      </xdr:blipFill>
      <xdr:spPr bwMode="auto">
        <a:xfrm>
          <a:off x="5546725" y="7750175"/>
          <a:ext cx="238125" cy="209550"/>
        </a:xfrm>
        <a:prstGeom prst="rect">
          <a:avLst/>
        </a:prstGeom>
        <a:noFill/>
      </xdr:spPr>
    </xdr:pic>
    <xdr:clientData/>
  </xdr:twoCellAnchor>
  <xdr:twoCellAnchor>
    <xdr:from>
      <xdr:col>3</xdr:col>
      <xdr:colOff>304800</xdr:colOff>
      <xdr:row>22</xdr:row>
      <xdr:rowOff>225425</xdr:rowOff>
    </xdr:from>
    <xdr:to>
      <xdr:col>3</xdr:col>
      <xdr:colOff>600075</xdr:colOff>
      <xdr:row>22</xdr:row>
      <xdr:rowOff>434975</xdr:rowOff>
    </xdr:to>
    <xdr:pic>
      <xdr:nvPicPr>
        <xdr:cNvPr id="6" name="Picture 10"/>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5572125" y="8283575"/>
          <a:ext cx="295275" cy="209550"/>
        </a:xfrm>
        <a:prstGeom prst="rect">
          <a:avLst/>
        </a:prstGeom>
        <a:noFill/>
      </xdr:spPr>
    </xdr:pic>
    <xdr:clientData/>
  </xdr:twoCellAnchor>
  <xdr:twoCellAnchor>
    <xdr:from>
      <xdr:col>3</xdr:col>
      <xdr:colOff>209550</xdr:colOff>
      <xdr:row>9</xdr:row>
      <xdr:rowOff>66675</xdr:rowOff>
    </xdr:from>
    <xdr:to>
      <xdr:col>3</xdr:col>
      <xdr:colOff>527897</xdr:colOff>
      <xdr:row>9</xdr:row>
      <xdr:rowOff>269875</xdr:rowOff>
    </xdr:to>
    <xdr:pic>
      <xdr:nvPicPr>
        <xdr:cNvPr id="7" name="Picture 1"/>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5324475" y="2114550"/>
          <a:ext cx="318347" cy="203200"/>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628650</xdr:colOff>
      <xdr:row>0</xdr:row>
      <xdr:rowOff>133350</xdr:rowOff>
    </xdr:from>
    <xdr:to>
      <xdr:col>7</xdr:col>
      <xdr:colOff>712470</xdr:colOff>
      <xdr:row>18</xdr:row>
      <xdr:rowOff>151638</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0.53562</cdr:x>
      <cdr:y>0.66268</cdr:y>
    </cdr:from>
    <cdr:to>
      <cdr:x>0.66227</cdr:x>
      <cdr:y>0.69856</cdr:y>
    </cdr:to>
    <cdr:sp macro="" textlink="">
      <cdr:nvSpPr>
        <cdr:cNvPr id="2" name="Textfeld 1"/>
        <cdr:cNvSpPr txBox="1"/>
      </cdr:nvSpPr>
      <cdr:spPr>
        <a:xfrm xmlns:a="http://schemas.openxmlformats.org/drawingml/2006/main">
          <a:off x="3867150" y="2638424"/>
          <a:ext cx="914400" cy="1428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0.5239</cdr:x>
      <cdr:y>0.10897</cdr:y>
    </cdr:from>
    <cdr:to>
      <cdr:x>0.68703</cdr:x>
      <cdr:y>0.21531</cdr:y>
    </cdr:to>
    <cdr:sp macro="" textlink="">
      <cdr:nvSpPr>
        <cdr:cNvPr id="3" name="Textfeld 2"/>
        <cdr:cNvSpPr txBox="1"/>
      </cdr:nvSpPr>
      <cdr:spPr>
        <a:xfrm xmlns:a="http://schemas.openxmlformats.org/drawingml/2006/main">
          <a:off x="3257551" y="433858"/>
          <a:ext cx="1014348" cy="4233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1"/>
              </a:solidFill>
            </a:rPr>
            <a:t>Gain</a:t>
          </a:r>
          <a:r>
            <a:rPr lang="de-DE" sz="1100" baseline="0">
              <a:solidFill>
                <a:schemeClr val="accent1"/>
              </a:solidFill>
            </a:rPr>
            <a:t> 40 Cents</a:t>
          </a:r>
          <a:endParaRPr lang="de-DE" sz="1100">
            <a:solidFill>
              <a:schemeClr val="accent1"/>
            </a:solidFill>
          </a:endParaRPr>
        </a:p>
      </cdr:txBody>
    </cdr:sp>
  </cdr:relSizeAnchor>
  <cdr:relSizeAnchor xmlns:cdr="http://schemas.openxmlformats.org/drawingml/2006/chartDrawing">
    <cdr:from>
      <cdr:x>0.46174</cdr:x>
      <cdr:y>0.52392</cdr:y>
    </cdr:from>
    <cdr:to>
      <cdr:x>0.59235</cdr:x>
      <cdr:y>0.65789</cdr:y>
    </cdr:to>
    <cdr:sp macro="" textlink="">
      <cdr:nvSpPr>
        <cdr:cNvPr id="4" name="Textfeld 3"/>
        <cdr:cNvSpPr txBox="1"/>
      </cdr:nvSpPr>
      <cdr:spPr>
        <a:xfrm xmlns:a="http://schemas.openxmlformats.org/drawingml/2006/main">
          <a:off x="3333750" y="2085974"/>
          <a:ext cx="942975" cy="5333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0.64254</cdr:x>
      <cdr:y>0.67827</cdr:y>
    </cdr:from>
    <cdr:to>
      <cdr:x>0.83435</cdr:x>
      <cdr:y>0.77034</cdr:y>
    </cdr:to>
    <cdr:sp macro="" textlink="">
      <cdr:nvSpPr>
        <cdr:cNvPr id="5" name="Textfeld 4"/>
        <cdr:cNvSpPr txBox="1"/>
      </cdr:nvSpPr>
      <cdr:spPr>
        <a:xfrm xmlns:a="http://schemas.openxmlformats.org/drawingml/2006/main">
          <a:off x="3995262" y="2700497"/>
          <a:ext cx="1192688" cy="3665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t>Loss 40 Cents</a:t>
          </a:r>
        </a:p>
      </cdr:txBody>
    </cdr:sp>
  </cdr:relSizeAnchor>
  <cdr:relSizeAnchor xmlns:cdr="http://schemas.openxmlformats.org/drawingml/2006/chartDrawing">
    <cdr:from>
      <cdr:x>0.74421</cdr:x>
      <cdr:y>0.2387</cdr:y>
    </cdr:from>
    <cdr:to>
      <cdr:x>0.91605</cdr:x>
      <cdr:y>0.35247</cdr:y>
    </cdr:to>
    <cdr:sp macro="" textlink="">
      <cdr:nvSpPr>
        <cdr:cNvPr id="6" name="Textfeld 5"/>
        <cdr:cNvSpPr txBox="1"/>
      </cdr:nvSpPr>
      <cdr:spPr>
        <a:xfrm xmlns:a="http://schemas.openxmlformats.org/drawingml/2006/main">
          <a:off x="4627438" y="950372"/>
          <a:ext cx="1068512" cy="4529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3">
                  <a:lumMod val="75000"/>
                </a:schemeClr>
              </a:solidFill>
            </a:rPr>
            <a:t>Gain 80 </a:t>
          </a:r>
          <a:r>
            <a:rPr lang="de-DE" sz="1100" baseline="0">
              <a:solidFill>
                <a:schemeClr val="accent3">
                  <a:lumMod val="75000"/>
                </a:schemeClr>
              </a:solidFill>
            </a:rPr>
            <a:t>Cents</a:t>
          </a:r>
          <a:endParaRPr lang="de-DE" sz="1100">
            <a:solidFill>
              <a:schemeClr val="accent3">
                <a:lumMod val="75000"/>
              </a:schemeClr>
            </a:solidFill>
          </a:endParaRPr>
        </a:p>
      </cdr:txBody>
    </cdr:sp>
  </cdr:relSizeAnchor>
  <cdr:relSizeAnchor xmlns:cdr="http://schemas.openxmlformats.org/drawingml/2006/chartDrawing">
    <cdr:from>
      <cdr:x>0.67092</cdr:x>
      <cdr:y>0.15431</cdr:y>
    </cdr:from>
    <cdr:to>
      <cdr:x>0.70148</cdr:x>
      <cdr:y>0.179</cdr:y>
    </cdr:to>
    <cdr:sp macro="" textlink="">
      <cdr:nvSpPr>
        <cdr:cNvPr id="8" name="Gerade Verbindung 7"/>
        <cdr:cNvSpPr/>
      </cdr:nvSpPr>
      <cdr:spPr>
        <a:xfrm xmlns:a="http://schemas.openxmlformats.org/drawingml/2006/main">
          <a:off x="5048506" y="614387"/>
          <a:ext cx="229956" cy="98302"/>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0.72228</cdr:x>
      <cdr:y>0.23859</cdr:y>
    </cdr:from>
    <cdr:to>
      <cdr:x>0.74728</cdr:x>
      <cdr:y>0.25587</cdr:y>
    </cdr:to>
    <cdr:sp macro="" textlink="">
      <cdr:nvSpPr>
        <cdr:cNvPr id="10" name="Gerade Verbindung 9"/>
        <cdr:cNvSpPr/>
      </cdr:nvSpPr>
      <cdr:spPr>
        <a:xfrm xmlns:a="http://schemas.openxmlformats.org/drawingml/2006/main">
          <a:off x="5434946" y="949927"/>
          <a:ext cx="188119" cy="68799"/>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0.22911</cdr:x>
      <cdr:y>0.34928</cdr:y>
    </cdr:from>
    <cdr:to>
      <cdr:x>0.38481</cdr:x>
      <cdr:y>0.44019</cdr:y>
    </cdr:to>
    <cdr:sp macro="" textlink="">
      <cdr:nvSpPr>
        <cdr:cNvPr id="9" name="Textfeld 8"/>
        <cdr:cNvSpPr txBox="1"/>
      </cdr:nvSpPr>
      <cdr:spPr>
        <a:xfrm xmlns:a="http://schemas.openxmlformats.org/drawingml/2006/main">
          <a:off x="1724025" y="1390651"/>
          <a:ext cx="117157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0.23038</cdr:x>
      <cdr:y>0.35885</cdr:y>
    </cdr:from>
    <cdr:to>
      <cdr:x>0.38228</cdr:x>
      <cdr:y>0.43301</cdr:y>
    </cdr:to>
    <cdr:sp macro="" textlink="">
      <cdr:nvSpPr>
        <cdr:cNvPr id="11" name="Textfeld 10"/>
        <cdr:cNvSpPr txBox="1"/>
      </cdr:nvSpPr>
      <cdr:spPr>
        <a:xfrm xmlns:a="http://schemas.openxmlformats.org/drawingml/2006/main">
          <a:off x="1733550" y="1428750"/>
          <a:ext cx="114300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No Piece Rate</a:t>
          </a:r>
        </a:p>
      </cdr:txBody>
    </cdr:sp>
  </cdr:relSizeAnchor>
  <cdr:relSizeAnchor xmlns:cdr="http://schemas.openxmlformats.org/drawingml/2006/chartDrawing">
    <cdr:from>
      <cdr:x>0.3519</cdr:x>
      <cdr:y>0.39474</cdr:y>
    </cdr:from>
    <cdr:to>
      <cdr:x>0.37975</cdr:x>
      <cdr:y>0.39474</cdr:y>
    </cdr:to>
    <cdr:sp macro="" textlink="">
      <cdr:nvSpPr>
        <cdr:cNvPr id="13" name="Gerade Verbindung 12"/>
        <cdr:cNvSpPr/>
      </cdr:nvSpPr>
      <cdr:spPr>
        <a:xfrm xmlns:a="http://schemas.openxmlformats.org/drawingml/2006/main">
          <a:off x="2647950" y="1571625"/>
          <a:ext cx="209550" cy="0"/>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0.51777</cdr:x>
      <cdr:y>0.2488</cdr:y>
    </cdr:from>
    <cdr:to>
      <cdr:x>0.67342</cdr:x>
      <cdr:y>0.37161</cdr:y>
    </cdr:to>
    <cdr:sp macro="" textlink="">
      <cdr:nvSpPr>
        <cdr:cNvPr id="14" name="Textfeld 13"/>
        <cdr:cNvSpPr txBox="1"/>
      </cdr:nvSpPr>
      <cdr:spPr>
        <a:xfrm xmlns:a="http://schemas.openxmlformats.org/drawingml/2006/main">
          <a:off x="3219451" y="990584"/>
          <a:ext cx="967822" cy="4889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 Cent Piece Rate</a:t>
          </a:r>
        </a:p>
      </cdr:txBody>
    </cdr:sp>
  </cdr:relSizeAnchor>
  <cdr:relSizeAnchor xmlns:cdr="http://schemas.openxmlformats.org/drawingml/2006/chartDrawing">
    <cdr:from>
      <cdr:x>0.65443</cdr:x>
      <cdr:y>0.2823</cdr:y>
    </cdr:from>
    <cdr:to>
      <cdr:x>0.67722</cdr:x>
      <cdr:y>0.2823</cdr:y>
    </cdr:to>
    <cdr:sp macro="" textlink="">
      <cdr:nvSpPr>
        <cdr:cNvPr id="16" name="Gerade Verbindung 15"/>
        <cdr:cNvSpPr/>
      </cdr:nvSpPr>
      <cdr:spPr>
        <a:xfrm xmlns:a="http://schemas.openxmlformats.org/drawingml/2006/main">
          <a:off x="4924425" y="1123950"/>
          <a:ext cx="171450" cy="0"/>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0.77595</cdr:x>
      <cdr:y>0.37321</cdr:y>
    </cdr:from>
    <cdr:to>
      <cdr:x>0.94684</cdr:x>
      <cdr:y>0.4378</cdr:y>
    </cdr:to>
    <cdr:sp macro="" textlink="">
      <cdr:nvSpPr>
        <cdr:cNvPr id="17" name="Textfeld 16"/>
        <cdr:cNvSpPr txBox="1"/>
      </cdr:nvSpPr>
      <cdr:spPr>
        <a:xfrm xmlns:a="http://schemas.openxmlformats.org/drawingml/2006/main">
          <a:off x="5838825" y="1485900"/>
          <a:ext cx="128587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10 Cent Piece Rate</a:t>
          </a:r>
        </a:p>
      </cdr:txBody>
    </cdr:sp>
  </cdr:relSizeAnchor>
  <cdr:relSizeAnchor xmlns:cdr="http://schemas.openxmlformats.org/drawingml/2006/chartDrawing">
    <cdr:from>
      <cdr:x>0.76962</cdr:x>
      <cdr:y>0.40909</cdr:y>
    </cdr:from>
    <cdr:to>
      <cdr:x>0.78608</cdr:x>
      <cdr:y>0.40909</cdr:y>
    </cdr:to>
    <cdr:sp macro="" textlink="">
      <cdr:nvSpPr>
        <cdr:cNvPr id="19" name="Gerade Verbindung 18"/>
        <cdr:cNvSpPr/>
      </cdr:nvSpPr>
      <cdr:spPr>
        <a:xfrm xmlns:a="http://schemas.openxmlformats.org/drawingml/2006/main">
          <a:off x="5791200" y="1628775"/>
          <a:ext cx="123825" cy="0"/>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0.62658</cdr:x>
      <cdr:y>0.69856</cdr:y>
    </cdr:from>
    <cdr:to>
      <cdr:x>0.65063</cdr:x>
      <cdr:y>0.71053</cdr:y>
    </cdr:to>
    <cdr:sp macro="" textlink="">
      <cdr:nvSpPr>
        <cdr:cNvPr id="21" name="Gerade Verbindung 20"/>
        <cdr:cNvSpPr/>
      </cdr:nvSpPr>
      <cdr:spPr>
        <a:xfrm xmlns:a="http://schemas.openxmlformats.org/drawingml/2006/main">
          <a:off x="4714875" y="2781300"/>
          <a:ext cx="180975" cy="4762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76200</xdr:colOff>
      <xdr:row>1</xdr:row>
      <xdr:rowOff>104776</xdr:rowOff>
    </xdr:from>
    <xdr:to>
      <xdr:col>8</xdr:col>
      <xdr:colOff>160020</xdr:colOff>
      <xdr:row>19</xdr:row>
      <xdr:rowOff>123064</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0.53562</cdr:x>
      <cdr:y>0.66268</cdr:y>
    </cdr:from>
    <cdr:to>
      <cdr:x>0.66227</cdr:x>
      <cdr:y>0.69856</cdr:y>
    </cdr:to>
    <cdr:sp macro="" textlink="">
      <cdr:nvSpPr>
        <cdr:cNvPr id="2" name="Textfeld 1"/>
        <cdr:cNvSpPr txBox="1"/>
      </cdr:nvSpPr>
      <cdr:spPr>
        <a:xfrm xmlns:a="http://schemas.openxmlformats.org/drawingml/2006/main">
          <a:off x="3867150" y="2638424"/>
          <a:ext cx="914400" cy="1428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0.43709</cdr:x>
      <cdr:y>0.07963</cdr:y>
    </cdr:from>
    <cdr:to>
      <cdr:x>0.60356</cdr:x>
      <cdr:y>0.14644</cdr:y>
    </cdr:to>
    <cdr:sp macro="" textlink="">
      <cdr:nvSpPr>
        <cdr:cNvPr id="3" name="Textfeld 2"/>
        <cdr:cNvSpPr txBox="1"/>
      </cdr:nvSpPr>
      <cdr:spPr>
        <a:xfrm xmlns:a="http://schemas.openxmlformats.org/drawingml/2006/main">
          <a:off x="2717801" y="274508"/>
          <a:ext cx="1035088" cy="2303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4">
                  <a:lumMod val="75000"/>
                </a:schemeClr>
              </a:solidFill>
            </a:rPr>
            <a:t>Gift</a:t>
          </a:r>
          <a:r>
            <a:rPr lang="de-DE" sz="1100" baseline="0">
              <a:solidFill>
                <a:schemeClr val="accent4">
                  <a:lumMod val="75000"/>
                </a:schemeClr>
              </a:solidFill>
            </a:rPr>
            <a:t> Exchange</a:t>
          </a:r>
          <a:endParaRPr lang="de-DE" sz="1100">
            <a:solidFill>
              <a:schemeClr val="accent4">
                <a:lumMod val="75000"/>
              </a:schemeClr>
            </a:solidFill>
          </a:endParaRPr>
        </a:p>
      </cdr:txBody>
    </cdr:sp>
  </cdr:relSizeAnchor>
  <cdr:relSizeAnchor xmlns:cdr="http://schemas.openxmlformats.org/drawingml/2006/chartDrawing">
    <cdr:from>
      <cdr:x>0.36152</cdr:x>
      <cdr:y>0.21547</cdr:y>
    </cdr:from>
    <cdr:to>
      <cdr:x>0.51337</cdr:x>
      <cdr:y>0.3417</cdr:y>
    </cdr:to>
    <cdr:sp macro="" textlink="">
      <cdr:nvSpPr>
        <cdr:cNvPr id="4" name="Textfeld 3"/>
        <cdr:cNvSpPr txBox="1"/>
      </cdr:nvSpPr>
      <cdr:spPr>
        <a:xfrm xmlns:a="http://schemas.openxmlformats.org/drawingml/2006/main">
          <a:off x="2247901" y="742787"/>
          <a:ext cx="944194" cy="4351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3"/>
              </a:solidFill>
            </a:rPr>
            <a:t>Task</a:t>
          </a:r>
          <a:r>
            <a:rPr lang="de-DE" sz="1100" baseline="0">
              <a:solidFill>
                <a:schemeClr val="accent3"/>
              </a:solidFill>
            </a:rPr>
            <a:t> Significance</a:t>
          </a:r>
          <a:endParaRPr lang="de-DE" sz="1100">
            <a:solidFill>
              <a:schemeClr val="accent3"/>
            </a:solidFill>
          </a:endParaRPr>
        </a:p>
      </cdr:txBody>
    </cdr:sp>
  </cdr:relSizeAnchor>
  <cdr:relSizeAnchor xmlns:cdr="http://schemas.openxmlformats.org/drawingml/2006/chartDrawing">
    <cdr:from>
      <cdr:x>0.61361</cdr:x>
      <cdr:y>0.49143</cdr:y>
    </cdr:from>
    <cdr:to>
      <cdr:x>0.86601</cdr:x>
      <cdr:y>0.57379</cdr:y>
    </cdr:to>
    <cdr:sp macro="" textlink="">
      <cdr:nvSpPr>
        <cdr:cNvPr id="5" name="Textfeld 4"/>
        <cdr:cNvSpPr txBox="1"/>
      </cdr:nvSpPr>
      <cdr:spPr>
        <a:xfrm xmlns:a="http://schemas.openxmlformats.org/drawingml/2006/main">
          <a:off x="3815378" y="1694101"/>
          <a:ext cx="1569422" cy="2839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1"/>
              </a:solidFill>
            </a:rPr>
            <a:t>Social Comparison</a:t>
          </a:r>
        </a:p>
        <a:p xmlns:a="http://schemas.openxmlformats.org/drawingml/2006/main">
          <a:endParaRPr lang="de-DE" sz="1100">
            <a:solidFill>
              <a:schemeClr val="accent1"/>
            </a:solidFill>
          </a:endParaRPr>
        </a:p>
      </cdr:txBody>
    </cdr:sp>
  </cdr:relSizeAnchor>
  <cdr:relSizeAnchor xmlns:cdr="http://schemas.openxmlformats.org/drawingml/2006/chartDrawing">
    <cdr:from>
      <cdr:x>0.80756</cdr:x>
      <cdr:y>0.11581</cdr:y>
    </cdr:from>
    <cdr:to>
      <cdr:x>0.93158</cdr:x>
      <cdr:y>0.22586</cdr:y>
    </cdr:to>
    <cdr:sp macro="" textlink="">
      <cdr:nvSpPr>
        <cdr:cNvPr id="6" name="Textfeld 5"/>
        <cdr:cNvSpPr txBox="1"/>
      </cdr:nvSpPr>
      <cdr:spPr>
        <a:xfrm xmlns:a="http://schemas.openxmlformats.org/drawingml/2006/main">
          <a:off x="5745929" y="443444"/>
          <a:ext cx="882424" cy="4213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t>Ranking</a:t>
          </a:r>
        </a:p>
      </cdr:txBody>
    </cdr:sp>
  </cdr:relSizeAnchor>
  <cdr:relSizeAnchor xmlns:cdr="http://schemas.openxmlformats.org/drawingml/2006/chartDrawing">
    <cdr:from>
      <cdr:x>0.59705</cdr:x>
      <cdr:y>0.46019</cdr:y>
    </cdr:from>
    <cdr:to>
      <cdr:x>0.61445</cdr:x>
      <cdr:y>0.50995</cdr:y>
    </cdr:to>
    <cdr:sp macro="" textlink="">
      <cdr:nvSpPr>
        <cdr:cNvPr id="8" name="Gerade Verbindung 7"/>
        <cdr:cNvSpPr/>
      </cdr:nvSpPr>
      <cdr:spPr>
        <a:xfrm xmlns:a="http://schemas.openxmlformats.org/drawingml/2006/main">
          <a:off x="4248137" y="1762107"/>
          <a:ext cx="123804" cy="190533"/>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0.60509</cdr:x>
      <cdr:y>0.12687</cdr:y>
    </cdr:from>
    <cdr:to>
      <cdr:x>0.6332</cdr:x>
      <cdr:y>0.14428</cdr:y>
    </cdr:to>
    <cdr:sp macro="" textlink="">
      <cdr:nvSpPr>
        <cdr:cNvPr id="10" name="Gerade Verbindung 9"/>
        <cdr:cNvSpPr/>
      </cdr:nvSpPr>
      <cdr:spPr>
        <a:xfrm xmlns:a="http://schemas.openxmlformats.org/drawingml/2006/main">
          <a:off x="4305328" y="485785"/>
          <a:ext cx="200008" cy="66663"/>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0.49263</cdr:x>
      <cdr:y>0.27861</cdr:y>
    </cdr:from>
    <cdr:to>
      <cdr:x>0.56358</cdr:x>
      <cdr:y>0.28109</cdr:y>
    </cdr:to>
    <cdr:sp macro="" textlink="">
      <cdr:nvSpPr>
        <cdr:cNvPr id="12" name="Gerade Verbindung 11"/>
        <cdr:cNvSpPr/>
      </cdr:nvSpPr>
      <cdr:spPr>
        <a:xfrm xmlns:a="http://schemas.openxmlformats.org/drawingml/2006/main">
          <a:off x="3505179" y="1066812"/>
          <a:ext cx="504822" cy="9496"/>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0.20786</cdr:x>
      <cdr:y>0.35084</cdr:y>
    </cdr:from>
    <cdr:to>
      <cdr:x>0.39624</cdr:x>
      <cdr:y>0.4338</cdr:y>
    </cdr:to>
    <cdr:sp macro="" textlink="">
      <cdr:nvSpPr>
        <cdr:cNvPr id="13" name="Textfeld 12"/>
        <cdr:cNvSpPr txBox="1"/>
      </cdr:nvSpPr>
      <cdr:spPr>
        <a:xfrm xmlns:a="http://schemas.openxmlformats.org/drawingml/2006/main">
          <a:off x="1292442" y="1209452"/>
          <a:ext cx="1171358" cy="2859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No Piece Rate</a:t>
          </a:r>
        </a:p>
      </cdr:txBody>
    </cdr:sp>
  </cdr:relSizeAnchor>
  <cdr:relSizeAnchor xmlns:cdr="http://schemas.openxmlformats.org/drawingml/2006/chartDrawing">
    <cdr:from>
      <cdr:x>0.35475</cdr:x>
      <cdr:y>0.39303</cdr:y>
    </cdr:from>
    <cdr:to>
      <cdr:x>0.3842</cdr:x>
      <cdr:y>0.39552</cdr:y>
    </cdr:to>
    <cdr:sp macro="" textlink="">
      <cdr:nvSpPr>
        <cdr:cNvPr id="15" name="Gerade Verbindung 14"/>
        <cdr:cNvSpPr/>
      </cdr:nvSpPr>
      <cdr:spPr>
        <a:xfrm xmlns:a="http://schemas.openxmlformats.org/drawingml/2006/main">
          <a:off x="2524125" y="1504949"/>
          <a:ext cx="209550" cy="9525"/>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0.53661</cdr:x>
      <cdr:y>0.55013</cdr:y>
    </cdr:from>
    <cdr:to>
      <cdr:x>0.67402</cdr:x>
      <cdr:y>0.69537</cdr:y>
    </cdr:to>
    <cdr:sp macro="" textlink="">
      <cdr:nvSpPr>
        <cdr:cNvPr id="16" name="Textfeld 15"/>
        <cdr:cNvSpPr txBox="1"/>
      </cdr:nvSpPr>
      <cdr:spPr>
        <a:xfrm xmlns:a="http://schemas.openxmlformats.org/drawingml/2006/main">
          <a:off x="3336568" y="1896448"/>
          <a:ext cx="854432" cy="500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 Cent Piece Rate</a:t>
          </a:r>
        </a:p>
      </cdr:txBody>
    </cdr:sp>
  </cdr:relSizeAnchor>
  <cdr:relSizeAnchor xmlns:cdr="http://schemas.openxmlformats.org/drawingml/2006/chartDrawing">
    <cdr:from>
      <cdr:x>0.64791</cdr:x>
      <cdr:y>0.6277</cdr:y>
    </cdr:from>
    <cdr:to>
      <cdr:x>0.68272</cdr:x>
      <cdr:y>0.6277</cdr:y>
    </cdr:to>
    <cdr:sp macro="" textlink="">
      <cdr:nvSpPr>
        <cdr:cNvPr id="18" name="Gerade Verbindung 17"/>
        <cdr:cNvSpPr/>
      </cdr:nvSpPr>
      <cdr:spPr>
        <a:xfrm xmlns:a="http://schemas.openxmlformats.org/drawingml/2006/main">
          <a:off x="5276471" y="2403482"/>
          <a:ext cx="283489" cy="0"/>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0.78179</cdr:x>
      <cdr:y>0.35572</cdr:y>
    </cdr:from>
    <cdr:to>
      <cdr:x>0.95716</cdr:x>
      <cdr:y>0.42537</cdr:y>
    </cdr:to>
    <cdr:sp macro="" textlink="">
      <cdr:nvSpPr>
        <cdr:cNvPr id="19" name="Textfeld 18"/>
        <cdr:cNvSpPr txBox="1"/>
      </cdr:nvSpPr>
      <cdr:spPr>
        <a:xfrm xmlns:a="http://schemas.openxmlformats.org/drawingml/2006/main">
          <a:off x="5562599" y="1362074"/>
          <a:ext cx="124777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10 Cent Piece Rate</a:t>
          </a:r>
        </a:p>
      </cdr:txBody>
    </cdr:sp>
  </cdr:relSizeAnchor>
  <cdr:relSizeAnchor xmlns:cdr="http://schemas.openxmlformats.org/drawingml/2006/chartDrawing">
    <cdr:from>
      <cdr:x>0.7751</cdr:x>
      <cdr:y>0.39055</cdr:y>
    </cdr:from>
    <cdr:to>
      <cdr:x>0.79384</cdr:x>
      <cdr:y>0.39303</cdr:y>
    </cdr:to>
    <cdr:sp macro="" textlink="">
      <cdr:nvSpPr>
        <cdr:cNvPr id="21" name="Gerade Verbindung 20"/>
        <cdr:cNvSpPr/>
      </cdr:nvSpPr>
      <cdr:spPr>
        <a:xfrm xmlns:a="http://schemas.openxmlformats.org/drawingml/2006/main">
          <a:off x="5514975" y="1495424"/>
          <a:ext cx="133350" cy="9525"/>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0.79116</cdr:x>
      <cdr:y>0.10696</cdr:y>
    </cdr:from>
    <cdr:to>
      <cdr:x>0.8166</cdr:x>
      <cdr:y>0.1393</cdr:y>
    </cdr:to>
    <cdr:sp macro="" textlink="">
      <cdr:nvSpPr>
        <cdr:cNvPr id="23" name="Gerade Verbindung 22"/>
        <cdr:cNvSpPr/>
      </cdr:nvSpPr>
      <cdr:spPr>
        <a:xfrm xmlns:a="http://schemas.openxmlformats.org/drawingml/2006/main">
          <a:off x="5629275" y="409574"/>
          <a:ext cx="180975" cy="12382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594062</xdr:colOff>
      <xdr:row>0</xdr:row>
      <xdr:rowOff>12700</xdr:rowOff>
    </xdr:from>
    <xdr:to>
      <xdr:col>23</xdr:col>
      <xdr:colOff>457200</xdr:colOff>
      <xdr:row>38</xdr:row>
      <xdr:rowOff>80645</xdr:rowOff>
    </xdr:to>
    <xdr:grpSp>
      <xdr:nvGrpSpPr>
        <xdr:cNvPr id="2" name="组合 4"/>
        <xdr:cNvGrpSpPr/>
      </xdr:nvGrpSpPr>
      <xdr:grpSpPr>
        <a:xfrm>
          <a:off x="5404187" y="12700"/>
          <a:ext cx="8721388" cy="7306945"/>
          <a:chOff x="3863042" y="87703"/>
          <a:chExt cx="9022560" cy="7014028"/>
        </a:xfrm>
      </xdr:grpSpPr>
      <xdr:graphicFrame macro="">
        <xdr:nvGraphicFramePr>
          <xdr:cNvPr id="3" name="Chart 2"/>
          <xdr:cNvGraphicFramePr>
            <a:graphicFrameLocks/>
          </xdr:cNvGraphicFramePr>
        </xdr:nvGraphicFramePr>
        <xdr:xfrm>
          <a:off x="3971926" y="87703"/>
          <a:ext cx="8913676" cy="701402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组合 23"/>
          <xdr:cNvGrpSpPr/>
        </xdr:nvGrpSpPr>
        <xdr:grpSpPr>
          <a:xfrm>
            <a:off x="3863042" y="589794"/>
            <a:ext cx="5119965" cy="6099066"/>
            <a:chOff x="3870662" y="612654"/>
            <a:chExt cx="5119965" cy="6099066"/>
          </a:xfrm>
        </xdr:grpSpPr>
        <xdr:sp macro="" textlink="">
          <xdr:nvSpPr>
            <xdr:cNvPr id="5" name="TextBox 4"/>
            <xdr:cNvSpPr txBox="1"/>
          </xdr:nvSpPr>
          <xdr:spPr>
            <a:xfrm>
              <a:off x="3870662" y="612654"/>
              <a:ext cx="3918366"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"Your score will not affect your payment."</a:t>
              </a:r>
            </a:p>
          </xdr:txBody>
        </xdr:sp>
        <xdr:sp macro="" textlink="">
          <xdr:nvSpPr>
            <xdr:cNvPr id="6" name="TextBox 5"/>
            <xdr:cNvSpPr txBox="1"/>
          </xdr:nvSpPr>
          <xdr:spPr>
            <a:xfrm>
              <a:off x="3870960" y="862587"/>
              <a:ext cx="412741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"In appreciation for performing this task, you will be paid a </a:t>
              </a:r>
            </a:p>
            <a:p>
              <a:r>
                <a:rPr lang="en-US" sz="1200"/>
                <a:t>bonus of 40 cents. Your score will not affect your payment."</a:t>
              </a:r>
            </a:p>
          </xdr:txBody>
        </xdr:sp>
        <xdr:sp macro="" textlink="">
          <xdr:nvSpPr>
            <xdr:cNvPr id="7" name="TextBox 6"/>
            <xdr:cNvSpPr txBox="1"/>
          </xdr:nvSpPr>
          <xdr:spPr>
            <a:xfrm>
              <a:off x="3870960" y="1300018"/>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"Please try as hard as you can."</a:t>
              </a:r>
            </a:p>
          </xdr:txBody>
        </xdr:sp>
        <xdr:sp macro="" textlink="">
          <xdr:nvSpPr>
            <xdr:cNvPr id="8" name="TextBox 7"/>
            <xdr:cNvSpPr txBox="1"/>
          </xdr:nvSpPr>
          <xdr:spPr>
            <a:xfrm>
              <a:off x="3870960" y="162462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"We will show you how well you did relative to others."</a:t>
              </a:r>
            </a:p>
          </xdr:txBody>
        </xdr:sp>
        <xdr:sp macro="" textlink="">
          <xdr:nvSpPr>
            <xdr:cNvPr id="9" name="TextBox 8"/>
            <xdr:cNvSpPr txBox="1"/>
          </xdr:nvSpPr>
          <xdr:spPr>
            <a:xfrm>
              <a:off x="3870960" y="194160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"Many participants scored more than 2,000."</a:t>
              </a:r>
            </a:p>
          </xdr:txBody>
        </xdr:sp>
        <xdr:sp macro="" textlink="">
          <xdr:nvSpPr>
            <xdr:cNvPr id="10" name="TextBox 9"/>
            <xdr:cNvSpPr txBox="1"/>
          </xdr:nvSpPr>
          <xdr:spPr>
            <a:xfrm>
              <a:off x="3870960" y="224637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be paid an extra 1 cent for every 1,000 points."</a:t>
              </a:r>
            </a:p>
          </xdr:txBody>
        </xdr:sp>
        <xdr:sp macro="" textlink="">
          <xdr:nvSpPr>
            <xdr:cNvPr id="11" name="TextBox 10"/>
            <xdr:cNvSpPr txBox="1"/>
          </xdr:nvSpPr>
          <xdr:spPr>
            <a:xfrm>
              <a:off x="3870960" y="2557282"/>
              <a:ext cx="43086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have a 1% chance of an extra $1 for every 100 points."</a:t>
              </a:r>
            </a:p>
          </xdr:txBody>
        </xdr:sp>
        <xdr:sp macro="" textlink="">
          <xdr:nvSpPr>
            <xdr:cNvPr id="12" name="TextBox 11"/>
            <xdr:cNvSpPr txBox="1"/>
          </xdr:nvSpPr>
          <xdr:spPr>
            <a:xfrm>
              <a:off x="3870960" y="290629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 cent for every 100 points."</a:t>
              </a:r>
              <a:endParaRPr lang="en-US" sz="1200"/>
            </a:p>
          </xdr:txBody>
        </xdr:sp>
        <xdr:sp macro="" textlink="">
          <xdr:nvSpPr>
            <xdr:cNvPr id="13" name="TextBox 12"/>
            <xdr:cNvSpPr txBox="1"/>
          </xdr:nvSpPr>
          <xdr:spPr>
            <a:xfrm>
              <a:off x="3870960" y="325986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10 cents for every 100 points."</a:t>
              </a:r>
              <a:endParaRPr lang="en-US" sz="1200"/>
            </a:p>
          </xdr:txBody>
        </xdr:sp>
        <xdr:sp macro="" textlink="">
          <xdr:nvSpPr>
            <xdr:cNvPr id="14" name="TextBox 13"/>
            <xdr:cNvSpPr txBox="1"/>
          </xdr:nvSpPr>
          <xdr:spPr>
            <a:xfrm>
              <a:off x="3870960" y="3939575"/>
              <a:ext cx="45185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have a 50% chance of an extra 2 cents for every 100 points."</a:t>
              </a:r>
              <a:endParaRPr lang="en-US" sz="1200"/>
            </a:p>
          </xdr:txBody>
        </xdr:sp>
        <xdr:sp macro="" textlink="">
          <xdr:nvSpPr>
            <xdr:cNvPr id="15" name="TextBox 14"/>
            <xdr:cNvSpPr txBox="1"/>
          </xdr:nvSpPr>
          <xdr:spPr>
            <a:xfrm>
              <a:off x="3870960" y="3604295"/>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(4 weeks delay)."</a:t>
              </a:r>
              <a:endParaRPr lang="en-US" sz="1200"/>
            </a:p>
          </xdr:txBody>
        </xdr:sp>
        <xdr:sp macro="" textlink="">
          <xdr:nvSpPr>
            <xdr:cNvPr id="16" name="TextBox 15"/>
            <xdr:cNvSpPr txBox="1"/>
          </xdr:nvSpPr>
          <xdr:spPr>
            <a:xfrm>
              <a:off x="3870960" y="4256560"/>
              <a:ext cx="511966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(2 weeks delay)."</a:t>
              </a:r>
              <a:endParaRPr lang="en-US" sz="1200"/>
            </a:p>
          </xdr:txBody>
        </xdr:sp>
        <xdr:sp macro="" textlink="">
          <xdr:nvSpPr>
            <xdr:cNvPr id="17" name="TextBox 16"/>
            <xdr:cNvSpPr txBox="1"/>
          </xdr:nvSpPr>
          <xdr:spPr>
            <a:xfrm>
              <a:off x="3870960" y="4591839"/>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a:t>
              </a:r>
              <a:r>
                <a:rPr lang="en-US" sz="1200" b="1" u="sng" baseline="0"/>
                <a:t>ou will  be paid an extra 1 cent for every 100 points."</a:t>
              </a:r>
              <a:endParaRPr lang="en-US" sz="1200" b="1" u="sng"/>
            </a:p>
          </xdr:txBody>
        </xdr:sp>
        <xdr:sp macro="" textlink="">
          <xdr:nvSpPr>
            <xdr:cNvPr id="18" name="TextBox 17"/>
            <xdr:cNvSpPr txBox="1"/>
          </xdr:nvSpPr>
          <xdr:spPr>
            <a:xfrm>
              <a:off x="3870960" y="4917954"/>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 cents for every 100 points."</a:t>
              </a:r>
              <a:endParaRPr lang="en-US" sz="1200"/>
            </a:p>
          </xdr:txBody>
        </xdr:sp>
        <xdr:sp macro="" textlink="">
          <xdr:nvSpPr>
            <xdr:cNvPr id="19" name="TextBox 18"/>
            <xdr:cNvSpPr txBox="1"/>
          </xdr:nvSpPr>
          <xdr:spPr>
            <a:xfrm>
              <a:off x="3870960" y="5247123"/>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"You will be paid an extra 40 cents if you score at least 2,000 points."</a:t>
              </a:r>
              <a:endParaRPr lang="en-US" sz="1200"/>
            </a:p>
          </xdr:txBody>
        </xdr:sp>
        <xdr:sp macro="" textlink="">
          <xdr:nvSpPr>
            <xdr:cNvPr id="20" name="TextBox 19"/>
            <xdr:cNvSpPr txBox="1"/>
          </xdr:nvSpPr>
          <xdr:spPr>
            <a:xfrm>
              <a:off x="3870960" y="5530592"/>
              <a:ext cx="5005176"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40 cents. However, you will lose this bonus unless you score at least 2,000 points."</a:t>
              </a:r>
              <a:endParaRPr lang="en-US" sz="1200"/>
            </a:p>
          </xdr:txBody>
        </xdr:sp>
        <xdr:sp macro="" textlink="">
          <xdr:nvSpPr>
            <xdr:cNvPr id="21" name="TextBox 20"/>
            <xdr:cNvSpPr txBox="1"/>
          </xdr:nvSpPr>
          <xdr:spPr>
            <a:xfrm>
              <a:off x="3870960" y="598326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r>
                <a:rPr lang="en-US" sz="1200" b="1" u="sng"/>
                <a:t>Y</a:t>
              </a:r>
              <a:r>
                <a:rPr lang="en-US" sz="1200" b="1" u="sng" baseline="0"/>
                <a:t>ou will be paid an extra 10 cents for every 100 points."</a:t>
              </a:r>
              <a:endParaRPr lang="en-US" sz="1200" b="1" u="sng"/>
            </a:p>
          </xdr:txBody>
        </xdr:sp>
        <xdr:sp macro="" textlink="">
          <xdr:nvSpPr>
            <xdr:cNvPr id="22" name="TextBox 21"/>
            <xdr:cNvSpPr txBox="1"/>
          </xdr:nvSpPr>
          <xdr:spPr>
            <a:xfrm>
              <a:off x="3870960" y="6231660"/>
              <a:ext cx="4652162"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80 cents if you score at least 2,000 points."</a:t>
              </a:r>
              <a:endParaRPr lang="en-US" sz="1200"/>
            </a:p>
          </xdr:txBody>
        </xdr:sp>
      </xdr:grpSp>
    </xdr:grpSp>
    <xdr:clientData/>
  </xdr:twoCellAnchor>
</xdr:wsDr>
</file>

<file path=xl/drawings/drawing15.xml><?xml version="1.0" encoding="utf-8"?>
<c:userShapes xmlns:c="http://schemas.openxmlformats.org/drawingml/2006/chart">
  <cdr:relSizeAnchor xmlns:cdr="http://schemas.openxmlformats.org/drawingml/2006/chartDrawing">
    <cdr:from>
      <cdr:x>0.00625</cdr:x>
      <cdr:y>0.02409</cdr:y>
    </cdr:from>
    <cdr:to>
      <cdr:x>0.98647</cdr:x>
      <cdr:y>0.07101</cdr:y>
    </cdr:to>
    <cdr:sp macro="" textlink="">
      <cdr:nvSpPr>
        <cdr:cNvPr id="2" name="TextBox 1"/>
        <cdr:cNvSpPr txBox="1"/>
      </cdr:nvSpPr>
      <cdr:spPr>
        <a:xfrm xmlns:a="http://schemas.openxmlformats.org/drawingml/2006/main">
          <a:off x="61497" y="178138"/>
          <a:ext cx="9644820" cy="3470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libri" charset="0"/>
              <a:ea typeface="Calibri" charset="0"/>
              <a:cs typeface="Calibri" charset="0"/>
            </a:rPr>
            <a:t>Actual and Forecasted Button Presses by Treatment and by Academic Field</a:t>
          </a:r>
          <a:endParaRPr lang="en-US" sz="1400">
            <a:latin typeface="Calibri" charset="0"/>
            <a:ea typeface="Calibri" charset="0"/>
            <a:cs typeface="Calibri" charset="0"/>
          </a:endParaRPr>
        </a:p>
      </cdr:txBody>
    </cdr:sp>
  </cdr:relSizeAnchor>
</c:userShapes>
</file>

<file path=xl/drawings/drawing16.xml><?xml version="1.0" encoding="utf-8"?>
<xdr:wsDr xmlns:xdr="http://schemas.openxmlformats.org/drawingml/2006/spreadsheetDrawing" xmlns:a="http://schemas.openxmlformats.org/drawingml/2006/main">
  <xdr:twoCellAnchor>
    <xdr:from>
      <xdr:col>5</xdr:col>
      <xdr:colOff>594062</xdr:colOff>
      <xdr:row>0</xdr:row>
      <xdr:rowOff>0</xdr:rowOff>
    </xdr:from>
    <xdr:to>
      <xdr:col>20</xdr:col>
      <xdr:colOff>444500</xdr:colOff>
      <xdr:row>38</xdr:row>
      <xdr:rowOff>76200</xdr:rowOff>
    </xdr:to>
    <xdr:grpSp>
      <xdr:nvGrpSpPr>
        <xdr:cNvPr id="2" name="组合 4"/>
        <xdr:cNvGrpSpPr/>
      </xdr:nvGrpSpPr>
      <xdr:grpSpPr>
        <a:xfrm>
          <a:off x="5115262" y="0"/>
          <a:ext cx="9946938" cy="7315200"/>
          <a:chOff x="3863042" y="136467"/>
          <a:chExt cx="9009883" cy="7021952"/>
        </a:xfrm>
      </xdr:grpSpPr>
      <xdr:graphicFrame macro="">
        <xdr:nvGraphicFramePr>
          <xdr:cNvPr id="3" name="Chart 2"/>
          <xdr:cNvGraphicFramePr>
            <a:graphicFrameLocks/>
          </xdr:cNvGraphicFramePr>
        </xdr:nvGraphicFramePr>
        <xdr:xfrm>
          <a:off x="3971926" y="136467"/>
          <a:ext cx="8900999" cy="702195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组合 23"/>
          <xdr:cNvGrpSpPr/>
        </xdr:nvGrpSpPr>
        <xdr:grpSpPr>
          <a:xfrm>
            <a:off x="3863042" y="589794"/>
            <a:ext cx="5119965" cy="6147830"/>
            <a:chOff x="3870662" y="612654"/>
            <a:chExt cx="5119965" cy="6147830"/>
          </a:xfrm>
        </xdr:grpSpPr>
        <xdr:sp macro="" textlink="">
          <xdr:nvSpPr>
            <xdr:cNvPr id="5" name="TextBox 4"/>
            <xdr:cNvSpPr txBox="1"/>
          </xdr:nvSpPr>
          <xdr:spPr>
            <a:xfrm>
              <a:off x="3870662" y="612654"/>
              <a:ext cx="3918366"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"Your score will not affect your payment."</a:t>
              </a:r>
            </a:p>
          </xdr:txBody>
        </xdr:sp>
        <xdr:sp macro="" textlink="">
          <xdr:nvSpPr>
            <xdr:cNvPr id="6" name="TextBox 5"/>
            <xdr:cNvSpPr txBox="1"/>
          </xdr:nvSpPr>
          <xdr:spPr>
            <a:xfrm>
              <a:off x="3870960" y="862587"/>
              <a:ext cx="412741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"In appreciation for performing this task, you will be paid a bonus of 40 cents. Your score will not affect your payment."</a:t>
              </a:r>
            </a:p>
          </xdr:txBody>
        </xdr:sp>
        <xdr:sp macro="" textlink="">
          <xdr:nvSpPr>
            <xdr:cNvPr id="7" name="TextBox 6"/>
            <xdr:cNvSpPr txBox="1"/>
          </xdr:nvSpPr>
          <xdr:spPr>
            <a:xfrm>
              <a:off x="3870960" y="1300018"/>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"Please try as hard as you can."</a:t>
              </a:r>
            </a:p>
          </xdr:txBody>
        </xdr:sp>
        <xdr:sp macro="" textlink="">
          <xdr:nvSpPr>
            <xdr:cNvPr id="8" name="TextBox 7"/>
            <xdr:cNvSpPr txBox="1"/>
          </xdr:nvSpPr>
          <xdr:spPr>
            <a:xfrm>
              <a:off x="3870960" y="162462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"We will show you how well you did relative to others."</a:t>
              </a:r>
            </a:p>
          </xdr:txBody>
        </xdr:sp>
        <xdr:sp macro="" textlink="">
          <xdr:nvSpPr>
            <xdr:cNvPr id="9" name="TextBox 8"/>
            <xdr:cNvSpPr txBox="1"/>
          </xdr:nvSpPr>
          <xdr:spPr>
            <a:xfrm>
              <a:off x="3870960" y="194160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"Many participants scored more than 2,000."</a:t>
              </a:r>
            </a:p>
          </xdr:txBody>
        </xdr:sp>
        <xdr:sp macro="" textlink="">
          <xdr:nvSpPr>
            <xdr:cNvPr id="10" name="TextBox 9"/>
            <xdr:cNvSpPr txBox="1"/>
          </xdr:nvSpPr>
          <xdr:spPr>
            <a:xfrm>
              <a:off x="3870960" y="224637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be paid an extra 1 cent for every 1,000 points."</a:t>
              </a:r>
            </a:p>
          </xdr:txBody>
        </xdr:sp>
        <xdr:sp macro="" textlink="">
          <xdr:nvSpPr>
            <xdr:cNvPr id="11" name="TextBox 10"/>
            <xdr:cNvSpPr txBox="1"/>
          </xdr:nvSpPr>
          <xdr:spPr>
            <a:xfrm>
              <a:off x="3870960" y="2557282"/>
              <a:ext cx="43086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have a 1% chance of an extra $1 for every 100 points."</a:t>
              </a:r>
            </a:p>
          </xdr:txBody>
        </xdr:sp>
        <xdr:sp macro="" textlink="">
          <xdr:nvSpPr>
            <xdr:cNvPr id="12" name="TextBox 11"/>
            <xdr:cNvSpPr txBox="1"/>
          </xdr:nvSpPr>
          <xdr:spPr>
            <a:xfrm>
              <a:off x="3870960" y="290629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 cent for every 100 points."</a:t>
              </a:r>
              <a:endParaRPr lang="en-US" sz="1200"/>
            </a:p>
          </xdr:txBody>
        </xdr:sp>
        <xdr:sp macro="" textlink="">
          <xdr:nvSpPr>
            <xdr:cNvPr id="13" name="TextBox 12"/>
            <xdr:cNvSpPr txBox="1"/>
          </xdr:nvSpPr>
          <xdr:spPr>
            <a:xfrm>
              <a:off x="3870960" y="325986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10 cents for every 100 points."</a:t>
              </a:r>
              <a:endParaRPr lang="en-US" sz="1200"/>
            </a:p>
          </xdr:txBody>
        </xdr:sp>
        <xdr:sp macro="" textlink="">
          <xdr:nvSpPr>
            <xdr:cNvPr id="14" name="TextBox 13"/>
            <xdr:cNvSpPr txBox="1"/>
          </xdr:nvSpPr>
          <xdr:spPr>
            <a:xfrm>
              <a:off x="3870960" y="3939575"/>
              <a:ext cx="45185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have a 50% chance of an extra 2 cents for every 100 points."</a:t>
              </a:r>
              <a:endParaRPr lang="en-US" sz="1200"/>
            </a:p>
          </xdr:txBody>
        </xdr:sp>
        <xdr:sp macro="" textlink="">
          <xdr:nvSpPr>
            <xdr:cNvPr id="15" name="TextBox 14"/>
            <xdr:cNvSpPr txBox="1"/>
          </xdr:nvSpPr>
          <xdr:spPr>
            <a:xfrm>
              <a:off x="3870960" y="3604295"/>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(4 weeks delay)."</a:t>
              </a:r>
              <a:endParaRPr lang="en-US" sz="1200"/>
            </a:p>
          </xdr:txBody>
        </xdr:sp>
        <xdr:sp macro="" textlink="">
          <xdr:nvSpPr>
            <xdr:cNvPr id="16" name="TextBox 15"/>
            <xdr:cNvSpPr txBox="1"/>
          </xdr:nvSpPr>
          <xdr:spPr>
            <a:xfrm>
              <a:off x="3870960" y="4256560"/>
              <a:ext cx="511966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(2 weeks delay)."</a:t>
              </a:r>
              <a:endParaRPr lang="en-US" sz="1200"/>
            </a:p>
          </xdr:txBody>
        </xdr:sp>
        <xdr:sp macro="" textlink="">
          <xdr:nvSpPr>
            <xdr:cNvPr id="17" name="TextBox 16"/>
            <xdr:cNvSpPr txBox="1"/>
          </xdr:nvSpPr>
          <xdr:spPr>
            <a:xfrm>
              <a:off x="3870960" y="4591839"/>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a:t>
              </a:r>
              <a:r>
                <a:rPr lang="en-US" sz="1200" b="1" u="sng" baseline="0"/>
                <a:t>ou will  be paid an extra 1 cent for every 100 points."</a:t>
              </a:r>
              <a:endParaRPr lang="en-US" sz="1200" b="1" u="sng"/>
            </a:p>
          </xdr:txBody>
        </xdr:sp>
        <xdr:sp macro="" textlink="">
          <xdr:nvSpPr>
            <xdr:cNvPr id="18" name="TextBox 17"/>
            <xdr:cNvSpPr txBox="1"/>
          </xdr:nvSpPr>
          <xdr:spPr>
            <a:xfrm>
              <a:off x="3870960" y="4917954"/>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 cents for every 100 points."</a:t>
              </a:r>
              <a:endParaRPr lang="en-US" sz="1200"/>
            </a:p>
          </xdr:txBody>
        </xdr:sp>
        <xdr:sp macro="" textlink="">
          <xdr:nvSpPr>
            <xdr:cNvPr id="19" name="TextBox 18"/>
            <xdr:cNvSpPr txBox="1"/>
          </xdr:nvSpPr>
          <xdr:spPr>
            <a:xfrm>
              <a:off x="3870960" y="5247123"/>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"You will be paid an extra 40 cents if you score at least 2,000 points."</a:t>
              </a:r>
              <a:endParaRPr lang="en-US" sz="1200"/>
            </a:p>
          </xdr:txBody>
        </xdr:sp>
        <xdr:sp macro="" textlink="">
          <xdr:nvSpPr>
            <xdr:cNvPr id="20" name="TextBox 19"/>
            <xdr:cNvSpPr txBox="1"/>
          </xdr:nvSpPr>
          <xdr:spPr>
            <a:xfrm>
              <a:off x="3870960" y="5530592"/>
              <a:ext cx="5005176"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40 cents. However, you will lose this bonus unless you score at least 2,000 points."</a:t>
              </a:r>
              <a:endParaRPr lang="en-US" sz="1200"/>
            </a:p>
          </xdr:txBody>
        </xdr:sp>
        <xdr:sp macro="" textlink="">
          <xdr:nvSpPr>
            <xdr:cNvPr id="21" name="TextBox 20"/>
            <xdr:cNvSpPr txBox="1"/>
          </xdr:nvSpPr>
          <xdr:spPr>
            <a:xfrm>
              <a:off x="3870960" y="598326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r>
                <a:rPr lang="en-US" sz="1200" b="1" u="sng"/>
                <a:t>Y</a:t>
              </a:r>
              <a:r>
                <a:rPr lang="en-US" sz="1200" b="1" u="sng" baseline="0"/>
                <a:t>ou will be paid an extra 10 cents for every 100 points."</a:t>
              </a:r>
              <a:endParaRPr lang="en-US" sz="1200" b="1" u="sng"/>
            </a:p>
          </xdr:txBody>
        </xdr:sp>
        <xdr:sp macro="" textlink="">
          <xdr:nvSpPr>
            <xdr:cNvPr id="22" name="TextBox 21"/>
            <xdr:cNvSpPr txBox="1"/>
          </xdr:nvSpPr>
          <xdr:spPr>
            <a:xfrm>
              <a:off x="3870960" y="6280424"/>
              <a:ext cx="4652162"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80 cents if you score at least 2,000 points."</a:t>
              </a:r>
              <a:endParaRPr lang="en-US" sz="1200"/>
            </a:p>
          </xdr:txBody>
        </xdr:sp>
      </xdr:grpSp>
    </xdr:grpSp>
    <xdr:clientData/>
  </xdr:twoCellAnchor>
</xdr:wsDr>
</file>

<file path=xl/drawings/drawing17.xml><?xml version="1.0" encoding="utf-8"?>
<c:userShapes xmlns:c="http://schemas.openxmlformats.org/drawingml/2006/chart">
  <cdr:relSizeAnchor xmlns:cdr="http://schemas.openxmlformats.org/drawingml/2006/chartDrawing">
    <cdr:from>
      <cdr:x>0.00625</cdr:x>
      <cdr:y>0.01548</cdr:y>
    </cdr:from>
    <cdr:to>
      <cdr:x>0.98647</cdr:x>
      <cdr:y>0.0727</cdr:y>
    </cdr:to>
    <cdr:sp macro="" textlink="">
      <cdr:nvSpPr>
        <cdr:cNvPr id="2" name="TextBox 1"/>
        <cdr:cNvSpPr txBox="1"/>
      </cdr:nvSpPr>
      <cdr:spPr>
        <a:xfrm xmlns:a="http://schemas.openxmlformats.org/drawingml/2006/main">
          <a:off x="61417" y="113249"/>
          <a:ext cx="9632357" cy="4185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libri" charset="0"/>
              <a:ea typeface="Calibri" charset="0"/>
              <a:cs typeface="Calibri" charset="0"/>
            </a:rPr>
            <a:t>Actual Button Presses by Treatment and Bayesian Shrinkage Estimates</a:t>
          </a:r>
          <a:endParaRPr lang="en-US" sz="1200">
            <a:effectLst/>
            <a:latin typeface="Calibri" charset="0"/>
            <a:ea typeface="Calibri" charset="0"/>
            <a:cs typeface="Calibri" charset="0"/>
          </a:endParaRPr>
        </a:p>
        <a:p xmlns:a="http://schemas.openxmlformats.org/drawingml/2006/main">
          <a:endParaRPr lang="en-US" sz="1400">
            <a:latin typeface="Calibri" charset="0"/>
            <a:ea typeface="Calibri" charset="0"/>
            <a:cs typeface="Calibri"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6</xdr:col>
      <xdr:colOff>594062</xdr:colOff>
      <xdr:row>0</xdr:row>
      <xdr:rowOff>59055</xdr:rowOff>
    </xdr:from>
    <xdr:to>
      <xdr:col>21</xdr:col>
      <xdr:colOff>495301</xdr:colOff>
      <xdr:row>38</xdr:row>
      <xdr:rowOff>165100</xdr:rowOff>
    </xdr:to>
    <xdr:grpSp>
      <xdr:nvGrpSpPr>
        <xdr:cNvPr id="2" name="组合 4"/>
        <xdr:cNvGrpSpPr/>
      </xdr:nvGrpSpPr>
      <xdr:grpSpPr>
        <a:xfrm>
          <a:off x="5216862" y="59055"/>
          <a:ext cx="10061239" cy="7184178"/>
          <a:chOff x="3863042" y="59055"/>
          <a:chExt cx="9053673" cy="7099363"/>
        </a:xfrm>
      </xdr:grpSpPr>
      <xdr:graphicFrame macro="">
        <xdr:nvGraphicFramePr>
          <xdr:cNvPr id="3" name="Chart 2"/>
          <xdr:cNvGraphicFramePr>
            <a:graphicFrameLocks/>
          </xdr:cNvGraphicFramePr>
        </xdr:nvGraphicFramePr>
        <xdr:xfrm>
          <a:off x="3971925" y="59055"/>
          <a:ext cx="8944790" cy="70993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组合 23"/>
          <xdr:cNvGrpSpPr/>
        </xdr:nvGrpSpPr>
        <xdr:grpSpPr>
          <a:xfrm>
            <a:off x="3863042" y="589794"/>
            <a:ext cx="5119965" cy="6135302"/>
            <a:chOff x="3870662" y="612654"/>
            <a:chExt cx="5119965" cy="6135302"/>
          </a:xfrm>
        </xdr:grpSpPr>
        <xdr:sp macro="" textlink="">
          <xdr:nvSpPr>
            <xdr:cNvPr id="5" name="TextBox 4"/>
            <xdr:cNvSpPr txBox="1"/>
          </xdr:nvSpPr>
          <xdr:spPr>
            <a:xfrm>
              <a:off x="3870662" y="612654"/>
              <a:ext cx="3918366"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"Your score will not affect your payment."</a:t>
              </a:r>
            </a:p>
          </xdr:txBody>
        </xdr:sp>
        <xdr:sp macro="" textlink="">
          <xdr:nvSpPr>
            <xdr:cNvPr id="6" name="TextBox 5"/>
            <xdr:cNvSpPr txBox="1"/>
          </xdr:nvSpPr>
          <xdr:spPr>
            <a:xfrm>
              <a:off x="3870960" y="862587"/>
              <a:ext cx="412741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"In appreciation for performing this task, you will be paid a </a:t>
              </a:r>
            </a:p>
            <a:p>
              <a:r>
                <a:rPr lang="en-US" sz="1200"/>
                <a:t>bonus of 40 cents. Your score will not affect your payment."</a:t>
              </a:r>
            </a:p>
          </xdr:txBody>
        </xdr:sp>
        <xdr:sp macro="" textlink="">
          <xdr:nvSpPr>
            <xdr:cNvPr id="7" name="TextBox 6"/>
            <xdr:cNvSpPr txBox="1"/>
          </xdr:nvSpPr>
          <xdr:spPr>
            <a:xfrm>
              <a:off x="3870960" y="1300018"/>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"Please try as hard as you can."</a:t>
              </a:r>
            </a:p>
          </xdr:txBody>
        </xdr:sp>
        <xdr:sp macro="" textlink="">
          <xdr:nvSpPr>
            <xdr:cNvPr id="8" name="TextBox 7"/>
            <xdr:cNvSpPr txBox="1"/>
          </xdr:nvSpPr>
          <xdr:spPr>
            <a:xfrm>
              <a:off x="3870960" y="162462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"We will show you how well you did relative to others."</a:t>
              </a:r>
            </a:p>
          </xdr:txBody>
        </xdr:sp>
        <xdr:sp macro="" textlink="">
          <xdr:nvSpPr>
            <xdr:cNvPr id="9" name="TextBox 8"/>
            <xdr:cNvSpPr txBox="1"/>
          </xdr:nvSpPr>
          <xdr:spPr>
            <a:xfrm>
              <a:off x="3870960" y="194160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"Many participants scored more than 2,000."</a:t>
              </a:r>
            </a:p>
          </xdr:txBody>
        </xdr:sp>
        <xdr:sp macro="" textlink="">
          <xdr:nvSpPr>
            <xdr:cNvPr id="10" name="TextBox 9"/>
            <xdr:cNvSpPr txBox="1"/>
          </xdr:nvSpPr>
          <xdr:spPr>
            <a:xfrm>
              <a:off x="3870960" y="224637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be paid an extra 1 cent for every 1,000 points."</a:t>
              </a:r>
            </a:p>
          </xdr:txBody>
        </xdr:sp>
        <xdr:sp macro="" textlink="">
          <xdr:nvSpPr>
            <xdr:cNvPr id="11" name="TextBox 10"/>
            <xdr:cNvSpPr txBox="1"/>
          </xdr:nvSpPr>
          <xdr:spPr>
            <a:xfrm>
              <a:off x="3870960" y="2557282"/>
              <a:ext cx="43086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have a 1% chance of an extra $1 for every 100 points."</a:t>
              </a:r>
            </a:p>
          </xdr:txBody>
        </xdr:sp>
        <xdr:sp macro="" textlink="">
          <xdr:nvSpPr>
            <xdr:cNvPr id="12" name="TextBox 11"/>
            <xdr:cNvSpPr txBox="1"/>
          </xdr:nvSpPr>
          <xdr:spPr>
            <a:xfrm>
              <a:off x="3870960" y="290629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 cent for every 100 points."</a:t>
              </a:r>
              <a:endParaRPr lang="en-US" sz="1200"/>
            </a:p>
          </xdr:txBody>
        </xdr:sp>
        <xdr:sp macro="" textlink="">
          <xdr:nvSpPr>
            <xdr:cNvPr id="13" name="TextBox 12"/>
            <xdr:cNvSpPr txBox="1"/>
          </xdr:nvSpPr>
          <xdr:spPr>
            <a:xfrm>
              <a:off x="3870960" y="325986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10 cents for every 100 points."</a:t>
              </a:r>
              <a:endParaRPr lang="en-US" sz="1200"/>
            </a:p>
          </xdr:txBody>
        </xdr:sp>
        <xdr:sp macro="" textlink="">
          <xdr:nvSpPr>
            <xdr:cNvPr id="14" name="TextBox 13"/>
            <xdr:cNvSpPr txBox="1"/>
          </xdr:nvSpPr>
          <xdr:spPr>
            <a:xfrm>
              <a:off x="3870960" y="3939575"/>
              <a:ext cx="45185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have a 50% chance of an extra 2 cents for every 100 points."</a:t>
              </a:r>
              <a:endParaRPr lang="en-US" sz="1200"/>
            </a:p>
          </xdr:txBody>
        </xdr:sp>
        <xdr:sp macro="" textlink="">
          <xdr:nvSpPr>
            <xdr:cNvPr id="15" name="TextBox 14"/>
            <xdr:cNvSpPr txBox="1"/>
          </xdr:nvSpPr>
          <xdr:spPr>
            <a:xfrm>
              <a:off x="3870960" y="3604295"/>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(4 weeks delay)."</a:t>
              </a:r>
              <a:endParaRPr lang="en-US" sz="1200"/>
            </a:p>
          </xdr:txBody>
        </xdr:sp>
        <xdr:sp macro="" textlink="">
          <xdr:nvSpPr>
            <xdr:cNvPr id="16" name="TextBox 15"/>
            <xdr:cNvSpPr txBox="1"/>
          </xdr:nvSpPr>
          <xdr:spPr>
            <a:xfrm>
              <a:off x="3870960" y="4256560"/>
              <a:ext cx="511966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(2 weeks delay)."</a:t>
              </a:r>
              <a:endParaRPr lang="en-US" sz="1200"/>
            </a:p>
          </xdr:txBody>
        </xdr:sp>
        <xdr:sp macro="" textlink="">
          <xdr:nvSpPr>
            <xdr:cNvPr id="17" name="TextBox 16"/>
            <xdr:cNvSpPr txBox="1"/>
          </xdr:nvSpPr>
          <xdr:spPr>
            <a:xfrm>
              <a:off x="3870960" y="4591839"/>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a:t>
              </a:r>
              <a:r>
                <a:rPr lang="en-US" sz="1200" b="1" u="sng" baseline="0"/>
                <a:t>ou will  be paid an extra 1 cent for every 100 points."</a:t>
              </a:r>
              <a:endParaRPr lang="en-US" sz="1200" b="1" u="sng"/>
            </a:p>
          </xdr:txBody>
        </xdr:sp>
        <xdr:sp macro="" textlink="">
          <xdr:nvSpPr>
            <xdr:cNvPr id="18" name="TextBox 17"/>
            <xdr:cNvSpPr txBox="1"/>
          </xdr:nvSpPr>
          <xdr:spPr>
            <a:xfrm>
              <a:off x="3870960" y="4917954"/>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 cents for every 100 points."</a:t>
              </a:r>
              <a:endParaRPr lang="en-US" sz="1200"/>
            </a:p>
          </xdr:txBody>
        </xdr:sp>
        <xdr:sp macro="" textlink="">
          <xdr:nvSpPr>
            <xdr:cNvPr id="19" name="TextBox 18"/>
            <xdr:cNvSpPr txBox="1"/>
          </xdr:nvSpPr>
          <xdr:spPr>
            <a:xfrm>
              <a:off x="3870960" y="5247123"/>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"You will be paid an extra 40 cents if you score at least 2,000 points."</a:t>
              </a:r>
              <a:endParaRPr lang="en-US" sz="1200"/>
            </a:p>
          </xdr:txBody>
        </xdr:sp>
        <xdr:sp macro="" textlink="">
          <xdr:nvSpPr>
            <xdr:cNvPr id="20" name="TextBox 19"/>
            <xdr:cNvSpPr txBox="1"/>
          </xdr:nvSpPr>
          <xdr:spPr>
            <a:xfrm>
              <a:off x="3870960" y="5530592"/>
              <a:ext cx="5005176"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40 cents. However, you will lose this bonus unless you score at least 2,000 points."</a:t>
              </a:r>
              <a:endParaRPr lang="en-US" sz="1200"/>
            </a:p>
          </xdr:txBody>
        </xdr:sp>
        <xdr:sp macro="" textlink="">
          <xdr:nvSpPr>
            <xdr:cNvPr id="21" name="TextBox 20"/>
            <xdr:cNvSpPr txBox="1"/>
          </xdr:nvSpPr>
          <xdr:spPr>
            <a:xfrm>
              <a:off x="3870960" y="598326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r>
                <a:rPr lang="en-US" sz="1200" b="1" u="sng"/>
                <a:t>Y</a:t>
              </a:r>
              <a:r>
                <a:rPr lang="en-US" sz="1200" b="1" u="sng" baseline="0"/>
                <a:t>ou will be paid an extra 10 cents for every 100 points."</a:t>
              </a:r>
              <a:endParaRPr lang="en-US" sz="1200" b="1" u="sng"/>
            </a:p>
          </xdr:txBody>
        </xdr:sp>
        <xdr:sp macro="" textlink="">
          <xdr:nvSpPr>
            <xdr:cNvPr id="22" name="TextBox 21"/>
            <xdr:cNvSpPr txBox="1"/>
          </xdr:nvSpPr>
          <xdr:spPr>
            <a:xfrm>
              <a:off x="3870960" y="6267896"/>
              <a:ext cx="4652162"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80 cents if you score at least 2,000 points."</a:t>
              </a:r>
              <a:endParaRPr lang="en-US" sz="1200"/>
            </a:p>
          </xdr:txBody>
        </xdr:sp>
      </xdr:grpSp>
    </xdr:grpSp>
    <xdr:clientData/>
  </xdr:twoCellAnchor>
</xdr:wsDr>
</file>

<file path=xl/drawings/drawing3.xml><?xml version="1.0" encoding="utf-8"?>
<c:userShapes xmlns:c="http://schemas.openxmlformats.org/drawingml/2006/chart">
  <cdr:relSizeAnchor xmlns:cdr="http://schemas.openxmlformats.org/drawingml/2006/chartDrawing">
    <cdr:from>
      <cdr:x>0.00625</cdr:x>
      <cdr:y>0.01558</cdr:y>
    </cdr:from>
    <cdr:to>
      <cdr:x>0.98647</cdr:x>
      <cdr:y>0.07668</cdr:y>
    </cdr:to>
    <cdr:sp macro="" textlink="">
      <cdr:nvSpPr>
        <cdr:cNvPr id="2" name="TextBox 1"/>
        <cdr:cNvSpPr txBox="1"/>
      </cdr:nvSpPr>
      <cdr:spPr>
        <a:xfrm xmlns:a="http://schemas.openxmlformats.org/drawingml/2006/main">
          <a:off x="61734" y="114461"/>
          <a:ext cx="9682125" cy="4487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libri" charset="0"/>
              <a:ea typeface="Calibri" charset="0"/>
              <a:cs typeface="Calibri" charset="0"/>
            </a:rPr>
            <a:t>Button Presses by Treatment (From Least to Most Effective) and Confidence Intervals</a:t>
          </a:r>
          <a:endParaRPr lang="en-US" sz="1400">
            <a:effectLst/>
            <a:latin typeface="Calibri" charset="0"/>
            <a:ea typeface="Calibri" charset="0"/>
            <a:cs typeface="Calibri" charset="0"/>
          </a:endParaRPr>
        </a:p>
        <a:p xmlns:a="http://schemas.openxmlformats.org/drawingml/2006/main">
          <a:endParaRPr lang="en-US" sz="1400">
            <a:latin typeface="Calibri" charset="0"/>
            <a:ea typeface="Calibri" charset="0"/>
            <a:cs typeface="Calibri"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594062</xdr:colOff>
      <xdr:row>0</xdr:row>
      <xdr:rowOff>8255</xdr:rowOff>
    </xdr:from>
    <xdr:to>
      <xdr:col>20</xdr:col>
      <xdr:colOff>444500</xdr:colOff>
      <xdr:row>38</xdr:row>
      <xdr:rowOff>139700</xdr:rowOff>
    </xdr:to>
    <xdr:grpSp>
      <xdr:nvGrpSpPr>
        <xdr:cNvPr id="2" name="组合 4"/>
        <xdr:cNvGrpSpPr/>
      </xdr:nvGrpSpPr>
      <xdr:grpSpPr>
        <a:xfrm>
          <a:off x="4318337" y="8255"/>
          <a:ext cx="8708688" cy="7370445"/>
          <a:chOff x="3863042" y="59055"/>
          <a:chExt cx="9009883" cy="7099364"/>
        </a:xfrm>
      </xdr:grpSpPr>
      <xdr:graphicFrame macro="">
        <xdr:nvGraphicFramePr>
          <xdr:cNvPr id="3" name="Chart 2"/>
          <xdr:cNvGraphicFramePr>
            <a:graphicFrameLocks/>
          </xdr:cNvGraphicFramePr>
        </xdr:nvGraphicFramePr>
        <xdr:xfrm>
          <a:off x="3971926" y="59055"/>
          <a:ext cx="8900999" cy="7099364"/>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组合 23"/>
          <xdr:cNvGrpSpPr/>
        </xdr:nvGrpSpPr>
        <xdr:grpSpPr>
          <a:xfrm>
            <a:off x="3863042" y="589794"/>
            <a:ext cx="5119965" cy="6160021"/>
            <a:chOff x="3870662" y="612654"/>
            <a:chExt cx="5119965" cy="6160021"/>
          </a:xfrm>
        </xdr:grpSpPr>
        <xdr:sp macro="" textlink="">
          <xdr:nvSpPr>
            <xdr:cNvPr id="5" name="TextBox 4"/>
            <xdr:cNvSpPr txBox="1"/>
          </xdr:nvSpPr>
          <xdr:spPr>
            <a:xfrm>
              <a:off x="3870662" y="612654"/>
              <a:ext cx="3918366"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"Your score will not affect your payment."</a:t>
              </a:r>
            </a:p>
          </xdr:txBody>
        </xdr:sp>
        <xdr:sp macro="" textlink="">
          <xdr:nvSpPr>
            <xdr:cNvPr id="6" name="TextBox 5"/>
            <xdr:cNvSpPr txBox="1"/>
          </xdr:nvSpPr>
          <xdr:spPr>
            <a:xfrm>
              <a:off x="3870960" y="862587"/>
              <a:ext cx="412741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"In appreciation for performing this task, you will be paid a </a:t>
              </a:r>
            </a:p>
            <a:p>
              <a:r>
                <a:rPr lang="en-US" sz="1200"/>
                <a:t>bonus of 40 cents. Your score will not affect your payment."</a:t>
              </a:r>
            </a:p>
          </xdr:txBody>
        </xdr:sp>
        <xdr:sp macro="" textlink="">
          <xdr:nvSpPr>
            <xdr:cNvPr id="7" name="TextBox 6"/>
            <xdr:cNvSpPr txBox="1"/>
          </xdr:nvSpPr>
          <xdr:spPr>
            <a:xfrm>
              <a:off x="3870960" y="1300018"/>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"Please try as hard as you can."</a:t>
              </a:r>
            </a:p>
          </xdr:txBody>
        </xdr:sp>
        <xdr:sp macro="" textlink="">
          <xdr:nvSpPr>
            <xdr:cNvPr id="8" name="TextBox 7"/>
            <xdr:cNvSpPr txBox="1"/>
          </xdr:nvSpPr>
          <xdr:spPr>
            <a:xfrm>
              <a:off x="3870960" y="162462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"We will show you how well you did relative to others."</a:t>
              </a:r>
            </a:p>
          </xdr:txBody>
        </xdr:sp>
        <xdr:sp macro="" textlink="">
          <xdr:nvSpPr>
            <xdr:cNvPr id="9" name="TextBox 8"/>
            <xdr:cNvSpPr txBox="1"/>
          </xdr:nvSpPr>
          <xdr:spPr>
            <a:xfrm>
              <a:off x="3870960" y="194160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"Many participants scored more than 2,000."</a:t>
              </a:r>
            </a:p>
          </xdr:txBody>
        </xdr:sp>
        <xdr:sp macro="" textlink="">
          <xdr:nvSpPr>
            <xdr:cNvPr id="10" name="TextBox 9"/>
            <xdr:cNvSpPr txBox="1"/>
          </xdr:nvSpPr>
          <xdr:spPr>
            <a:xfrm>
              <a:off x="3870960" y="224637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be paid an extra 1 cent for every 1,000 points."</a:t>
              </a:r>
            </a:p>
          </xdr:txBody>
        </xdr:sp>
        <xdr:sp macro="" textlink="">
          <xdr:nvSpPr>
            <xdr:cNvPr id="11" name="TextBox 10"/>
            <xdr:cNvSpPr txBox="1"/>
          </xdr:nvSpPr>
          <xdr:spPr>
            <a:xfrm>
              <a:off x="3870960" y="2557282"/>
              <a:ext cx="43086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"You will have a 1% chance of an extra $1 for every 100 points."</a:t>
              </a:r>
            </a:p>
          </xdr:txBody>
        </xdr:sp>
        <xdr:sp macro="" textlink="">
          <xdr:nvSpPr>
            <xdr:cNvPr id="12" name="TextBox 11"/>
            <xdr:cNvSpPr txBox="1"/>
          </xdr:nvSpPr>
          <xdr:spPr>
            <a:xfrm>
              <a:off x="3870960" y="2906293"/>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 cent for every 100 points."</a:t>
              </a:r>
              <a:endParaRPr lang="en-US" sz="1200"/>
            </a:p>
          </xdr:txBody>
        </xdr:sp>
        <xdr:sp macro="" textlink="">
          <xdr:nvSpPr>
            <xdr:cNvPr id="13" name="TextBox 12"/>
            <xdr:cNvSpPr txBox="1"/>
          </xdr:nvSpPr>
          <xdr:spPr>
            <a:xfrm>
              <a:off x="3870960" y="3259867"/>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a:t>
              </a:r>
              <a:r>
                <a:rPr lang="en-US" sz="1200" baseline="0"/>
                <a:t>he Red Cross will be given 10 cents for every 100 points."</a:t>
              </a:r>
              <a:endParaRPr lang="en-US" sz="1200"/>
            </a:p>
          </xdr:txBody>
        </xdr:sp>
        <xdr:sp macro="" textlink="">
          <xdr:nvSpPr>
            <xdr:cNvPr id="14" name="TextBox 13"/>
            <xdr:cNvSpPr txBox="1"/>
          </xdr:nvSpPr>
          <xdr:spPr>
            <a:xfrm>
              <a:off x="3870960" y="3939575"/>
              <a:ext cx="4518588"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have a 50% chance of an extra 2 cents for every 100 points."</a:t>
              </a:r>
              <a:endParaRPr lang="en-US" sz="1200"/>
            </a:p>
          </xdr:txBody>
        </xdr:sp>
        <xdr:sp macro="" textlink="">
          <xdr:nvSpPr>
            <xdr:cNvPr id="15" name="TextBox 14"/>
            <xdr:cNvSpPr txBox="1"/>
          </xdr:nvSpPr>
          <xdr:spPr>
            <a:xfrm>
              <a:off x="3870960" y="3604295"/>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(4 weeks delay)."</a:t>
              </a:r>
              <a:endParaRPr lang="en-US" sz="1200"/>
            </a:p>
          </xdr:txBody>
        </xdr:sp>
        <xdr:sp macro="" textlink="">
          <xdr:nvSpPr>
            <xdr:cNvPr id="16" name="TextBox 15"/>
            <xdr:cNvSpPr txBox="1"/>
          </xdr:nvSpPr>
          <xdr:spPr>
            <a:xfrm>
              <a:off x="3870960" y="4256560"/>
              <a:ext cx="5119667"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1 cent for every 100 points (2 weeks delay)."</a:t>
              </a:r>
              <a:endParaRPr lang="en-US" sz="1200"/>
            </a:p>
          </xdr:txBody>
        </xdr:sp>
        <xdr:sp macro="" textlink="">
          <xdr:nvSpPr>
            <xdr:cNvPr id="17" name="TextBox 16"/>
            <xdr:cNvSpPr txBox="1"/>
          </xdr:nvSpPr>
          <xdr:spPr>
            <a:xfrm>
              <a:off x="3870960" y="4591839"/>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"Y</a:t>
              </a:r>
              <a:r>
                <a:rPr lang="en-US" sz="1200" b="1" u="sng" baseline="0"/>
                <a:t>ou will  be paid an extra 1 cent for every 100 points."</a:t>
              </a:r>
              <a:endParaRPr lang="en-US" sz="1200" b="1" u="sng"/>
            </a:p>
          </xdr:txBody>
        </xdr:sp>
        <xdr:sp macro="" textlink="">
          <xdr:nvSpPr>
            <xdr:cNvPr id="18" name="TextBox 17"/>
            <xdr:cNvSpPr txBox="1"/>
          </xdr:nvSpPr>
          <xdr:spPr>
            <a:xfrm>
              <a:off x="3870960" y="4917954"/>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 cents for every 100 points."</a:t>
              </a:r>
              <a:endParaRPr lang="en-US" sz="1200"/>
            </a:p>
          </xdr:txBody>
        </xdr:sp>
        <xdr:sp macro="" textlink="">
          <xdr:nvSpPr>
            <xdr:cNvPr id="19" name="TextBox 18"/>
            <xdr:cNvSpPr txBox="1"/>
          </xdr:nvSpPr>
          <xdr:spPr>
            <a:xfrm>
              <a:off x="3870960" y="5247123"/>
              <a:ext cx="4928849"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"You will be paid an extra 40 cents if you score at least 2,000 points."</a:t>
              </a:r>
              <a:endParaRPr lang="en-US" sz="1200"/>
            </a:p>
          </xdr:txBody>
        </xdr:sp>
        <xdr:sp macro="" textlink="">
          <xdr:nvSpPr>
            <xdr:cNvPr id="20" name="TextBox 19"/>
            <xdr:cNvSpPr txBox="1"/>
          </xdr:nvSpPr>
          <xdr:spPr>
            <a:xfrm>
              <a:off x="3870960" y="5530592"/>
              <a:ext cx="5005176"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40 cents. However, you will lose this bonus unless you score at least 2,000 points."</a:t>
              </a:r>
              <a:endParaRPr lang="en-US" sz="1200"/>
            </a:p>
          </xdr:txBody>
        </xdr:sp>
        <xdr:sp macro="" textlink="">
          <xdr:nvSpPr>
            <xdr:cNvPr id="21" name="TextBox 20"/>
            <xdr:cNvSpPr txBox="1"/>
          </xdr:nvSpPr>
          <xdr:spPr>
            <a:xfrm>
              <a:off x="3870960" y="5983262"/>
              <a:ext cx="39014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r>
                <a:rPr lang="en-US" sz="1200" b="1" u="sng"/>
                <a:t>Y</a:t>
              </a:r>
              <a:r>
                <a:rPr lang="en-US" sz="1200" b="1" u="sng" baseline="0"/>
                <a:t>ou will be paid an extra 10 cents for every 100 points."</a:t>
              </a:r>
              <a:endParaRPr lang="en-US" sz="1200" b="1" u="sng"/>
            </a:p>
          </xdr:txBody>
        </xdr:sp>
        <xdr:sp macro="" textlink="">
          <xdr:nvSpPr>
            <xdr:cNvPr id="22" name="TextBox 21"/>
            <xdr:cNvSpPr txBox="1"/>
          </xdr:nvSpPr>
          <xdr:spPr>
            <a:xfrm>
              <a:off x="3870960" y="6292615"/>
              <a:ext cx="4652162"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"Y</a:t>
              </a:r>
              <a:r>
                <a:rPr lang="en-US" sz="1200" baseline="0"/>
                <a:t>ou will be paid an extra 80 cents if you score at least 2,000 points."</a:t>
              </a:r>
              <a:endParaRPr lang="en-US" sz="1200"/>
            </a:p>
          </xdr:txBody>
        </xdr:sp>
      </xdr:grpSp>
    </xdr:grpSp>
    <xdr:clientData/>
  </xdr:twoCellAnchor>
</xdr:wsDr>
</file>

<file path=xl/drawings/drawing5.xml><?xml version="1.0" encoding="utf-8"?>
<c:userShapes xmlns:c="http://schemas.openxmlformats.org/drawingml/2006/chart">
  <cdr:relSizeAnchor xmlns:cdr="http://schemas.openxmlformats.org/drawingml/2006/chartDrawing">
    <cdr:from>
      <cdr:x>0.00625</cdr:x>
      <cdr:y>0.01956</cdr:y>
    </cdr:from>
    <cdr:to>
      <cdr:x>0.98647</cdr:x>
      <cdr:y>0.06414</cdr:y>
    </cdr:to>
    <cdr:sp macro="" textlink="">
      <cdr:nvSpPr>
        <cdr:cNvPr id="2" name="TextBox 1"/>
        <cdr:cNvSpPr txBox="1"/>
      </cdr:nvSpPr>
      <cdr:spPr>
        <a:xfrm xmlns:a="http://schemas.openxmlformats.org/drawingml/2006/main">
          <a:off x="61417" y="144166"/>
          <a:ext cx="9632357" cy="32857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0"/>
          <a:r>
            <a:rPr lang="en-US" sz="1400" b="1" i="0" baseline="0">
              <a:effectLst/>
              <a:latin typeface="Calibri" charset="0"/>
              <a:ea typeface="Calibri" charset="0"/>
              <a:cs typeface="Calibri" charset="0"/>
            </a:rPr>
            <a:t>Actual and Forecasted Button Presses by Treatment - All Expert Survey Takers</a:t>
          </a:r>
          <a:endParaRPr lang="en-US" sz="1400">
            <a:effectLst/>
            <a:latin typeface="Calibri" charset="0"/>
            <a:ea typeface="Calibri" charset="0"/>
            <a:cs typeface="Calibri" charset="0"/>
          </a:endParaRPr>
        </a:p>
        <a:p xmlns:a="http://schemas.openxmlformats.org/drawingml/2006/main">
          <a:endParaRPr lang="en-US" sz="1400">
            <a:latin typeface="Calibri" charset="0"/>
            <a:ea typeface="Calibri" charset="0"/>
            <a:cs typeface="Calibri"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28575</xdr:colOff>
      <xdr:row>1</xdr:row>
      <xdr:rowOff>180976</xdr:rowOff>
    </xdr:from>
    <xdr:to>
      <xdr:col>8</xdr:col>
      <xdr:colOff>112395</xdr:colOff>
      <xdr:row>20</xdr:row>
      <xdr:rowOff>8764</xdr:rowOff>
    </xdr:to>
    <xdr:graphicFrame macro="">
      <xdr:nvGraphicFramePr>
        <xdr:cNvPr id="2"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0.53562</cdr:x>
      <cdr:y>0.66268</cdr:y>
    </cdr:from>
    <cdr:to>
      <cdr:x>0.66227</cdr:x>
      <cdr:y>0.69856</cdr:y>
    </cdr:to>
    <cdr:sp macro="" textlink="">
      <cdr:nvSpPr>
        <cdr:cNvPr id="2" name="Textfeld 1"/>
        <cdr:cNvSpPr txBox="1"/>
      </cdr:nvSpPr>
      <cdr:spPr>
        <a:xfrm xmlns:a="http://schemas.openxmlformats.org/drawingml/2006/main">
          <a:off x="3867150" y="2638424"/>
          <a:ext cx="914400" cy="1428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0.45647</cdr:x>
      <cdr:y>0.14593</cdr:y>
    </cdr:from>
    <cdr:to>
      <cdr:x>0.60027</cdr:x>
      <cdr:y>0.20813</cdr:y>
    </cdr:to>
    <cdr:sp macro="" textlink="">
      <cdr:nvSpPr>
        <cdr:cNvPr id="3" name="Textfeld 2"/>
        <cdr:cNvSpPr txBox="1"/>
      </cdr:nvSpPr>
      <cdr:spPr>
        <a:xfrm xmlns:a="http://schemas.openxmlformats.org/drawingml/2006/main">
          <a:off x="3295671" y="581014"/>
          <a:ext cx="1038229" cy="2476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t>Very Low Pay</a:t>
          </a:r>
        </a:p>
      </cdr:txBody>
    </cdr:sp>
  </cdr:relSizeAnchor>
  <cdr:relSizeAnchor xmlns:cdr="http://schemas.openxmlformats.org/drawingml/2006/chartDrawing">
    <cdr:from>
      <cdr:x>0.45778</cdr:x>
      <cdr:y>0.45454</cdr:y>
    </cdr:from>
    <cdr:to>
      <cdr:x>0.58839</cdr:x>
      <cdr:y>0.58851</cdr:y>
    </cdr:to>
    <cdr:sp macro="" textlink="">
      <cdr:nvSpPr>
        <cdr:cNvPr id="4" name="Textfeld 3"/>
        <cdr:cNvSpPr txBox="1"/>
      </cdr:nvSpPr>
      <cdr:spPr>
        <a:xfrm xmlns:a="http://schemas.openxmlformats.org/drawingml/2006/main">
          <a:off x="3305165" y="1809736"/>
          <a:ext cx="942997" cy="5333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6"/>
              </a:solidFill>
            </a:rPr>
            <a:t>1 Cent for Charity</a:t>
          </a:r>
        </a:p>
      </cdr:txBody>
    </cdr:sp>
  </cdr:relSizeAnchor>
  <cdr:relSizeAnchor xmlns:cdr="http://schemas.openxmlformats.org/drawingml/2006/chartDrawing">
    <cdr:from>
      <cdr:x>0.69393</cdr:x>
      <cdr:y>0.71531</cdr:y>
    </cdr:from>
    <cdr:to>
      <cdr:x>0.91452</cdr:x>
      <cdr:y>0.79852</cdr:y>
    </cdr:to>
    <cdr:sp macro="" textlink="">
      <cdr:nvSpPr>
        <cdr:cNvPr id="5" name="Textfeld 4"/>
        <cdr:cNvSpPr txBox="1"/>
      </cdr:nvSpPr>
      <cdr:spPr>
        <a:xfrm xmlns:a="http://schemas.openxmlformats.org/drawingml/2006/main">
          <a:off x="4314801" y="2465881"/>
          <a:ext cx="1371624" cy="2868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1"/>
              </a:solidFill>
            </a:rPr>
            <a:t>4 Cent</a:t>
          </a:r>
          <a:r>
            <a:rPr lang="de-DE" sz="1100" baseline="0">
              <a:solidFill>
                <a:schemeClr val="accent1"/>
              </a:solidFill>
            </a:rPr>
            <a:t> Piece Rate</a:t>
          </a:r>
          <a:endParaRPr lang="de-DE" sz="1100">
            <a:solidFill>
              <a:schemeClr val="accent1"/>
            </a:solidFill>
          </a:endParaRPr>
        </a:p>
      </cdr:txBody>
    </cdr:sp>
  </cdr:relSizeAnchor>
  <cdr:relSizeAnchor xmlns:cdr="http://schemas.openxmlformats.org/drawingml/2006/chartDrawing">
    <cdr:from>
      <cdr:x>0.79815</cdr:x>
      <cdr:y>0.20335</cdr:y>
    </cdr:from>
    <cdr:to>
      <cdr:x>0.93903</cdr:x>
      <cdr:y>0.3638</cdr:y>
    </cdr:to>
    <cdr:sp macro="" textlink="">
      <cdr:nvSpPr>
        <cdr:cNvPr id="6" name="Textfeld 5"/>
        <cdr:cNvSpPr txBox="1"/>
      </cdr:nvSpPr>
      <cdr:spPr>
        <a:xfrm xmlns:a="http://schemas.openxmlformats.org/drawingml/2006/main">
          <a:off x="4962833" y="701006"/>
          <a:ext cx="875992" cy="5531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4"/>
              </a:solidFill>
            </a:rPr>
            <a:t>10 Cents for Charity</a:t>
          </a:r>
        </a:p>
      </cdr:txBody>
    </cdr:sp>
  </cdr:relSizeAnchor>
  <cdr:relSizeAnchor xmlns:cdr="http://schemas.openxmlformats.org/drawingml/2006/chartDrawing">
    <cdr:from>
      <cdr:x>0.5752</cdr:x>
      <cdr:y>0.19139</cdr:y>
    </cdr:from>
    <cdr:to>
      <cdr:x>0.59895</cdr:x>
      <cdr:y>0.22488</cdr:y>
    </cdr:to>
    <cdr:sp macro="" textlink="">
      <cdr:nvSpPr>
        <cdr:cNvPr id="10" name="Gerade Verbindung 9"/>
        <cdr:cNvSpPr/>
      </cdr:nvSpPr>
      <cdr:spPr>
        <a:xfrm xmlns:a="http://schemas.openxmlformats.org/drawingml/2006/main">
          <a:off x="4152894" y="761994"/>
          <a:ext cx="171473" cy="13333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0.53562</cdr:x>
      <cdr:y>0.54784</cdr:y>
    </cdr:from>
    <cdr:to>
      <cdr:x>0.55937</cdr:x>
      <cdr:y>0.58134</cdr:y>
    </cdr:to>
    <cdr:sp macro="" textlink="">
      <cdr:nvSpPr>
        <cdr:cNvPr id="12" name="Gerade Verbindung 11"/>
        <cdr:cNvSpPr/>
      </cdr:nvSpPr>
      <cdr:spPr>
        <a:xfrm xmlns:a="http://schemas.openxmlformats.org/drawingml/2006/main">
          <a:off x="3867134" y="2181207"/>
          <a:ext cx="171473" cy="133379"/>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0.7876</cdr:x>
      <cdr:y>0.17704</cdr:y>
    </cdr:from>
    <cdr:to>
      <cdr:x>0.81266</cdr:x>
      <cdr:y>0.21292</cdr:y>
    </cdr:to>
    <cdr:sp macro="" textlink="">
      <cdr:nvSpPr>
        <cdr:cNvPr id="14" name="Gerade Verbindung 13"/>
        <cdr:cNvSpPr/>
      </cdr:nvSpPr>
      <cdr:spPr>
        <a:xfrm xmlns:a="http://schemas.openxmlformats.org/drawingml/2006/main">
          <a:off x="5686454" y="704862"/>
          <a:ext cx="180932" cy="142855"/>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0.69789</cdr:x>
      <cdr:y>0.69856</cdr:y>
    </cdr:from>
    <cdr:to>
      <cdr:x>0.72032</cdr:x>
      <cdr:y>0.73923</cdr:y>
    </cdr:to>
    <cdr:sp macro="" textlink="">
      <cdr:nvSpPr>
        <cdr:cNvPr id="16" name="Gerade Verbindung 15"/>
        <cdr:cNvSpPr/>
      </cdr:nvSpPr>
      <cdr:spPr>
        <a:xfrm xmlns:a="http://schemas.openxmlformats.org/drawingml/2006/main">
          <a:off x="5038725" y="2781299"/>
          <a:ext cx="161925" cy="16192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0.51828</cdr:x>
      <cdr:y>0.30933</cdr:y>
    </cdr:from>
    <cdr:to>
      <cdr:x>0.6704</cdr:x>
      <cdr:y>0.45959</cdr:y>
    </cdr:to>
    <cdr:sp macro="" textlink="">
      <cdr:nvSpPr>
        <cdr:cNvPr id="17" name="Textfeld 16"/>
        <cdr:cNvSpPr txBox="1"/>
      </cdr:nvSpPr>
      <cdr:spPr>
        <a:xfrm xmlns:a="http://schemas.openxmlformats.org/drawingml/2006/main">
          <a:off x="3222625" y="1066349"/>
          <a:ext cx="945885" cy="517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 Cent</a:t>
          </a:r>
          <a:r>
            <a:rPr lang="de-DE" sz="1100" baseline="0">
              <a:solidFill>
                <a:schemeClr val="accent2"/>
              </a:solidFill>
            </a:rPr>
            <a:t> </a:t>
          </a:r>
        </a:p>
        <a:p xmlns:a="http://schemas.openxmlformats.org/drawingml/2006/main">
          <a:r>
            <a:rPr lang="de-DE" sz="1100" baseline="0">
              <a:solidFill>
                <a:schemeClr val="accent2"/>
              </a:solidFill>
            </a:rPr>
            <a:t>Piece Rate</a:t>
          </a:r>
          <a:endParaRPr lang="de-DE" sz="1100">
            <a:solidFill>
              <a:schemeClr val="accent2"/>
            </a:solidFill>
          </a:endParaRPr>
        </a:p>
      </cdr:txBody>
    </cdr:sp>
  </cdr:relSizeAnchor>
  <cdr:relSizeAnchor xmlns:cdr="http://schemas.openxmlformats.org/drawingml/2006/chartDrawing">
    <cdr:from>
      <cdr:x>0.79304</cdr:x>
      <cdr:y>0.36603</cdr:y>
    </cdr:from>
    <cdr:to>
      <cdr:x>0.95778</cdr:x>
      <cdr:y>0.49274</cdr:y>
    </cdr:to>
    <cdr:sp macro="" textlink="">
      <cdr:nvSpPr>
        <cdr:cNvPr id="20" name="Textfeld 19"/>
        <cdr:cNvSpPr txBox="1"/>
      </cdr:nvSpPr>
      <cdr:spPr>
        <a:xfrm xmlns:a="http://schemas.openxmlformats.org/drawingml/2006/main">
          <a:off x="4939366" y="1235833"/>
          <a:ext cx="1026050" cy="4278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10 Cent Piece Rate</a:t>
          </a:r>
        </a:p>
      </cdr:txBody>
    </cdr:sp>
  </cdr:relSizeAnchor>
  <cdr:relSizeAnchor xmlns:cdr="http://schemas.openxmlformats.org/drawingml/2006/chartDrawing">
    <cdr:from>
      <cdr:x>0.76948</cdr:x>
      <cdr:y>0.40191</cdr:y>
    </cdr:from>
    <cdr:to>
      <cdr:x>0.79896</cdr:x>
      <cdr:y>0.40191</cdr:y>
    </cdr:to>
    <cdr:sp macro="" textlink="">
      <cdr:nvSpPr>
        <cdr:cNvPr id="22" name="Gerade Verbindung 21"/>
        <cdr:cNvSpPr/>
      </cdr:nvSpPr>
      <cdr:spPr>
        <a:xfrm xmlns:a="http://schemas.openxmlformats.org/drawingml/2006/main">
          <a:off x="4772471" y="1414024"/>
          <a:ext cx="182880" cy="0"/>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0.53562</cdr:x>
      <cdr:y>0.66268</cdr:y>
    </cdr:from>
    <cdr:to>
      <cdr:x>0.66227</cdr:x>
      <cdr:y>0.69856</cdr:y>
    </cdr:to>
    <cdr:sp macro="" textlink="">
      <cdr:nvSpPr>
        <cdr:cNvPr id="7" name="Textfeld 1"/>
        <cdr:cNvSpPr txBox="1"/>
      </cdr:nvSpPr>
      <cdr:spPr>
        <a:xfrm xmlns:a="http://schemas.openxmlformats.org/drawingml/2006/main">
          <a:off x="3867150" y="2638424"/>
          <a:ext cx="914400" cy="1428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0.79605</cdr:x>
      <cdr:y>0.5774</cdr:y>
    </cdr:from>
    <cdr:to>
      <cdr:x>0.925</cdr:x>
      <cdr:y>0.69042</cdr:y>
    </cdr:to>
    <cdr:sp macro="" textlink="">
      <cdr:nvSpPr>
        <cdr:cNvPr id="28" name="Textfeld 22"/>
        <cdr:cNvSpPr txBox="1"/>
      </cdr:nvSpPr>
      <cdr:spPr>
        <a:xfrm xmlns:a="http://schemas.openxmlformats.org/drawingml/2006/main">
          <a:off x="5762625" y="2238374"/>
          <a:ext cx="933450"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0.20921</cdr:x>
      <cdr:y>0.38575</cdr:y>
    </cdr:from>
    <cdr:to>
      <cdr:x>0.36184</cdr:x>
      <cdr:y>0.43489</cdr:y>
    </cdr:to>
    <cdr:sp macro="" textlink="">
      <cdr:nvSpPr>
        <cdr:cNvPr id="31" name="Textfeld 26"/>
        <cdr:cNvSpPr txBox="1"/>
      </cdr:nvSpPr>
      <cdr:spPr>
        <a:xfrm xmlns:a="http://schemas.openxmlformats.org/drawingml/2006/main">
          <a:off x="1300851" y="1329791"/>
          <a:ext cx="949041" cy="169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0.21451</cdr:x>
      <cdr:y>0.35872</cdr:y>
    </cdr:from>
    <cdr:to>
      <cdr:x>0.3803</cdr:x>
      <cdr:y>0.4226</cdr:y>
    </cdr:to>
    <cdr:sp macro="" textlink="">
      <cdr:nvSpPr>
        <cdr:cNvPr id="32" name="Textfeld 27"/>
        <cdr:cNvSpPr txBox="1"/>
      </cdr:nvSpPr>
      <cdr:spPr>
        <a:xfrm xmlns:a="http://schemas.openxmlformats.org/drawingml/2006/main">
          <a:off x="1333791" y="1236611"/>
          <a:ext cx="1030869" cy="2202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No Piece Rate</a:t>
          </a:r>
        </a:p>
      </cdr:txBody>
    </cdr:sp>
  </cdr:relSizeAnchor>
  <cdr:relSizeAnchor xmlns:cdr="http://schemas.openxmlformats.org/drawingml/2006/chartDrawing">
    <cdr:from>
      <cdr:x>0.36397</cdr:x>
      <cdr:y>0.40296</cdr:y>
    </cdr:from>
    <cdr:to>
      <cdr:x>0.4001</cdr:x>
      <cdr:y>0.40296</cdr:y>
    </cdr:to>
    <cdr:cxnSp macro="">
      <cdr:nvCxnSpPr>
        <cdr:cNvPr id="9" name="Straight Connector 8"/>
        <cdr:cNvCxnSpPr/>
      </cdr:nvCxnSpPr>
      <cdr:spPr>
        <a:xfrm xmlns:a="http://schemas.openxmlformats.org/drawingml/2006/main">
          <a:off x="2257425" y="1417730"/>
          <a:ext cx="224117" cy="0"/>
        </a:xfrm>
        <a:prstGeom xmlns:a="http://schemas.openxmlformats.org/drawingml/2006/main" prst="line">
          <a:avLst/>
        </a:prstGeom>
        <a:ln xmlns:a="http://schemas.openxmlformats.org/drawingml/2006/main" w="9525">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0.63113</cdr:x>
      <cdr:y>0.39617</cdr:y>
    </cdr:from>
    <cdr:to>
      <cdr:x>0.68273</cdr:x>
      <cdr:y>0.39617</cdr:y>
    </cdr:to>
    <cdr:cxnSp macro="">
      <cdr:nvCxnSpPr>
        <cdr:cNvPr id="23" name="Straight Connector 22"/>
        <cdr:cNvCxnSpPr/>
      </cdr:nvCxnSpPr>
      <cdr:spPr>
        <a:xfrm xmlns:a="http://schemas.openxmlformats.org/drawingml/2006/main">
          <a:off x="3914401" y="1393825"/>
          <a:ext cx="320040" cy="0"/>
        </a:xfrm>
        <a:prstGeom xmlns:a="http://schemas.openxmlformats.org/drawingml/2006/main" prst="line">
          <a:avLst/>
        </a:prstGeom>
        <a:ln xmlns:a="http://schemas.openxmlformats.org/drawingml/2006/main" w="9525">
          <a:solidFill>
            <a:srgbClr val="C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1</xdr:col>
      <xdr:colOff>47625</xdr:colOff>
      <xdr:row>2</xdr:row>
      <xdr:rowOff>123826</xdr:rowOff>
    </xdr:from>
    <xdr:to>
      <xdr:col>8</xdr:col>
      <xdr:colOff>131445</xdr:colOff>
      <xdr:row>20</xdr:row>
      <xdr:rowOff>142114</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0.53562</cdr:x>
      <cdr:y>0.66268</cdr:y>
    </cdr:from>
    <cdr:to>
      <cdr:x>0.66227</cdr:x>
      <cdr:y>0.69856</cdr:y>
    </cdr:to>
    <cdr:sp macro="" textlink="">
      <cdr:nvSpPr>
        <cdr:cNvPr id="2" name="Textfeld 1"/>
        <cdr:cNvSpPr txBox="1"/>
      </cdr:nvSpPr>
      <cdr:spPr>
        <a:xfrm xmlns:a="http://schemas.openxmlformats.org/drawingml/2006/main">
          <a:off x="3867150" y="2638424"/>
          <a:ext cx="914400" cy="1428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0.49888</cdr:x>
      <cdr:y>0.27776</cdr:y>
    </cdr:from>
    <cdr:to>
      <cdr:x>0.65147</cdr:x>
      <cdr:y>0.42827</cdr:y>
    </cdr:to>
    <cdr:sp macro="" textlink="">
      <cdr:nvSpPr>
        <cdr:cNvPr id="3" name="Textfeld 2"/>
        <cdr:cNvSpPr txBox="1"/>
      </cdr:nvSpPr>
      <cdr:spPr>
        <a:xfrm xmlns:a="http://schemas.openxmlformats.org/drawingml/2006/main">
          <a:off x="3101975" y="957519"/>
          <a:ext cx="948813" cy="5188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t>1</a:t>
          </a:r>
          <a:r>
            <a:rPr lang="de-DE" sz="1100" baseline="0"/>
            <a:t> Cent in four Weeks</a:t>
          </a:r>
          <a:endParaRPr lang="de-DE" sz="1100"/>
        </a:p>
      </cdr:txBody>
    </cdr:sp>
  </cdr:relSizeAnchor>
  <cdr:relSizeAnchor xmlns:cdr="http://schemas.openxmlformats.org/drawingml/2006/chartDrawing">
    <cdr:from>
      <cdr:x>0.59314</cdr:x>
      <cdr:y>0.6576</cdr:y>
    </cdr:from>
    <cdr:to>
      <cdr:x>0.73582</cdr:x>
      <cdr:y>0.78663</cdr:y>
    </cdr:to>
    <cdr:sp macro="" textlink="">
      <cdr:nvSpPr>
        <cdr:cNvPr id="4" name="Textfeld 3"/>
        <cdr:cNvSpPr txBox="1"/>
      </cdr:nvSpPr>
      <cdr:spPr>
        <a:xfrm xmlns:a="http://schemas.openxmlformats.org/drawingml/2006/main">
          <a:off x="4084682" y="2436541"/>
          <a:ext cx="982617" cy="4781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1"/>
              </a:solidFill>
            </a:rPr>
            <a:t>1 Cent in two Weeks</a:t>
          </a:r>
        </a:p>
      </cdr:txBody>
    </cdr:sp>
  </cdr:relSizeAnchor>
  <cdr:relSizeAnchor xmlns:cdr="http://schemas.openxmlformats.org/drawingml/2006/chartDrawing">
    <cdr:from>
      <cdr:x>0.69808</cdr:x>
      <cdr:y>0.4094</cdr:y>
    </cdr:from>
    <cdr:to>
      <cdr:x>0.89512</cdr:x>
      <cdr:y>0.54932</cdr:y>
    </cdr:to>
    <cdr:sp macro="" textlink="">
      <cdr:nvSpPr>
        <cdr:cNvPr id="5" name="Textfeld 4"/>
        <cdr:cNvSpPr txBox="1"/>
      </cdr:nvSpPr>
      <cdr:spPr>
        <a:xfrm xmlns:a="http://schemas.openxmlformats.org/drawingml/2006/main">
          <a:off x="4340606" y="1459986"/>
          <a:ext cx="1225169" cy="4989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3"/>
              </a:solidFill>
            </a:rPr>
            <a:t>1% Chance of Extra Payment</a:t>
          </a:r>
        </a:p>
      </cdr:txBody>
    </cdr:sp>
  </cdr:relSizeAnchor>
  <cdr:relSizeAnchor xmlns:cdr="http://schemas.openxmlformats.org/drawingml/2006/chartDrawing">
    <cdr:from>
      <cdr:x>0.79149</cdr:x>
      <cdr:y>0.21069</cdr:y>
    </cdr:from>
    <cdr:to>
      <cdr:x>0.96002</cdr:x>
      <cdr:y>0.36414</cdr:y>
    </cdr:to>
    <cdr:sp macro="" textlink="">
      <cdr:nvSpPr>
        <cdr:cNvPr id="6" name="Textfeld 5"/>
        <cdr:cNvSpPr txBox="1"/>
      </cdr:nvSpPr>
      <cdr:spPr>
        <a:xfrm xmlns:a="http://schemas.openxmlformats.org/drawingml/2006/main">
          <a:off x="4921422" y="751354"/>
          <a:ext cx="1047906" cy="5472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4"/>
              </a:solidFill>
            </a:rPr>
            <a:t>50% Chance of Extra Payment</a:t>
          </a:r>
        </a:p>
      </cdr:txBody>
    </cdr:sp>
  </cdr:relSizeAnchor>
  <cdr:relSizeAnchor xmlns:cdr="http://schemas.openxmlformats.org/drawingml/2006/chartDrawing">
    <cdr:from>
      <cdr:x>0.73026</cdr:x>
      <cdr:y>0.35627</cdr:y>
    </cdr:from>
    <cdr:to>
      <cdr:x>0.75263</cdr:x>
      <cdr:y>0.42506</cdr:y>
    </cdr:to>
    <cdr:sp macro="" textlink="">
      <cdr:nvSpPr>
        <cdr:cNvPr id="8" name="Gerade Verbindung 7"/>
        <cdr:cNvSpPr/>
      </cdr:nvSpPr>
      <cdr:spPr>
        <a:xfrm xmlns:a="http://schemas.openxmlformats.org/drawingml/2006/main">
          <a:off x="5286375" y="1381124"/>
          <a:ext cx="161925" cy="266700"/>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0.62763</cdr:x>
      <cdr:y>0.32187</cdr:y>
    </cdr:from>
    <cdr:to>
      <cdr:x>0.65526</cdr:x>
      <cdr:y>0.33415</cdr:y>
    </cdr:to>
    <cdr:sp macro="" textlink="">
      <cdr:nvSpPr>
        <cdr:cNvPr id="12" name="Gerade Verbindung 11"/>
        <cdr:cNvSpPr/>
      </cdr:nvSpPr>
      <cdr:spPr>
        <a:xfrm xmlns:a="http://schemas.openxmlformats.org/drawingml/2006/main">
          <a:off x="4543443" y="1247788"/>
          <a:ext cx="200014" cy="4760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0.74474</cdr:x>
      <cdr:y>0.14251</cdr:y>
    </cdr:from>
    <cdr:to>
      <cdr:x>0.80395</cdr:x>
      <cdr:y>0.2285</cdr:y>
    </cdr:to>
    <cdr:sp macro="" textlink="">
      <cdr:nvSpPr>
        <cdr:cNvPr id="14" name="Gerade Verbindung 13"/>
        <cdr:cNvSpPr/>
      </cdr:nvSpPr>
      <cdr:spPr>
        <a:xfrm xmlns:a="http://schemas.openxmlformats.org/drawingml/2006/main">
          <a:off x="5391138" y="552457"/>
          <a:ext cx="428621" cy="333355"/>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0.36184</cdr:x>
      <cdr:y>0.39312</cdr:y>
    </cdr:from>
    <cdr:to>
      <cdr:x>0.38553</cdr:x>
      <cdr:y>0.39435</cdr:y>
    </cdr:to>
    <cdr:sp macro="" textlink="">
      <cdr:nvSpPr>
        <cdr:cNvPr id="19" name="Gerade Verbindung 18"/>
        <cdr:cNvSpPr/>
      </cdr:nvSpPr>
      <cdr:spPr>
        <a:xfrm xmlns:a="http://schemas.openxmlformats.org/drawingml/2006/main" flipV="1">
          <a:off x="2619375" y="1523999"/>
          <a:ext cx="171450" cy="4763"/>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0.55</cdr:x>
      <cdr:y>0.09091</cdr:y>
    </cdr:from>
    <cdr:to>
      <cdr:x>0.67895</cdr:x>
      <cdr:y>0.23014</cdr:y>
    </cdr:to>
    <cdr:sp macro="" textlink="">
      <cdr:nvSpPr>
        <cdr:cNvPr id="20" name="Textfeld 19"/>
        <cdr:cNvSpPr txBox="1"/>
      </cdr:nvSpPr>
      <cdr:spPr>
        <a:xfrm xmlns:a="http://schemas.openxmlformats.org/drawingml/2006/main">
          <a:off x="4547234" y="352428"/>
          <a:ext cx="1066120" cy="5397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 Cent</a:t>
          </a:r>
          <a:r>
            <a:rPr lang="de-DE" sz="1100" baseline="0">
              <a:solidFill>
                <a:schemeClr val="accent2"/>
              </a:solidFill>
            </a:rPr>
            <a:t> Piece Rate</a:t>
          </a:r>
          <a:endParaRPr lang="de-DE" sz="1100">
            <a:solidFill>
              <a:schemeClr val="accent2"/>
            </a:solidFill>
          </a:endParaRPr>
        </a:p>
      </cdr:txBody>
    </cdr:sp>
  </cdr:relSizeAnchor>
  <cdr:relSizeAnchor xmlns:cdr="http://schemas.openxmlformats.org/drawingml/2006/chartDrawing">
    <cdr:from>
      <cdr:x>0.66053</cdr:x>
      <cdr:y>0.12531</cdr:y>
    </cdr:from>
    <cdr:to>
      <cdr:x>0.68289</cdr:x>
      <cdr:y>0.12531</cdr:y>
    </cdr:to>
    <cdr:sp macro="" textlink="">
      <cdr:nvSpPr>
        <cdr:cNvPr id="22" name="Gerade Verbindung 21"/>
        <cdr:cNvSpPr/>
      </cdr:nvSpPr>
      <cdr:spPr>
        <a:xfrm xmlns:a="http://schemas.openxmlformats.org/drawingml/2006/main">
          <a:off x="4781550" y="485774"/>
          <a:ext cx="161925" cy="0"/>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0.79605</cdr:x>
      <cdr:y>0.5774</cdr:y>
    </cdr:from>
    <cdr:to>
      <cdr:x>0.925</cdr:x>
      <cdr:y>0.69042</cdr:y>
    </cdr:to>
    <cdr:sp macro="" textlink="">
      <cdr:nvSpPr>
        <cdr:cNvPr id="23" name="Textfeld 22"/>
        <cdr:cNvSpPr txBox="1"/>
      </cdr:nvSpPr>
      <cdr:spPr>
        <a:xfrm xmlns:a="http://schemas.openxmlformats.org/drawingml/2006/main">
          <a:off x="5762625" y="2238374"/>
          <a:ext cx="933450"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0.79342</cdr:x>
      <cdr:y>0.57248</cdr:y>
    </cdr:from>
    <cdr:to>
      <cdr:x>0.93421</cdr:x>
      <cdr:y>0.73464</cdr:y>
    </cdr:to>
    <cdr:sp macro="" textlink="">
      <cdr:nvSpPr>
        <cdr:cNvPr id="24" name="Textfeld 23"/>
        <cdr:cNvSpPr txBox="1"/>
      </cdr:nvSpPr>
      <cdr:spPr>
        <a:xfrm xmlns:a="http://schemas.openxmlformats.org/drawingml/2006/main">
          <a:off x="6559758" y="2219318"/>
          <a:ext cx="1164009" cy="6286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10 Cent Piece Rate</a:t>
          </a:r>
        </a:p>
      </cdr:txBody>
    </cdr:sp>
  </cdr:relSizeAnchor>
  <cdr:relSizeAnchor xmlns:cdr="http://schemas.openxmlformats.org/drawingml/2006/chartDrawing">
    <cdr:from>
      <cdr:x>0.77763</cdr:x>
      <cdr:y>0.60442</cdr:y>
    </cdr:from>
    <cdr:to>
      <cdr:x>0.80526</cdr:x>
      <cdr:y>0.60688</cdr:y>
    </cdr:to>
    <cdr:sp macro="" textlink="">
      <cdr:nvSpPr>
        <cdr:cNvPr id="26" name="Gerade Verbindung 25"/>
        <cdr:cNvSpPr/>
      </cdr:nvSpPr>
      <cdr:spPr>
        <a:xfrm xmlns:a="http://schemas.openxmlformats.org/drawingml/2006/main">
          <a:off x="5629275" y="2343149"/>
          <a:ext cx="200025" cy="9525"/>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dr:relSizeAnchor xmlns:cdr="http://schemas.openxmlformats.org/drawingml/2006/chartDrawing">
    <cdr:from>
      <cdr:x>0.20921</cdr:x>
      <cdr:y>0.38575</cdr:y>
    </cdr:from>
    <cdr:to>
      <cdr:x>0.36184</cdr:x>
      <cdr:y>0.43489</cdr:y>
    </cdr:to>
    <cdr:sp macro="" textlink="">
      <cdr:nvSpPr>
        <cdr:cNvPr id="27" name="Textfeld 26"/>
        <cdr:cNvSpPr txBox="1"/>
      </cdr:nvSpPr>
      <cdr:spPr>
        <a:xfrm xmlns:a="http://schemas.openxmlformats.org/drawingml/2006/main">
          <a:off x="1514475" y="1495424"/>
          <a:ext cx="11049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0.21247</cdr:x>
      <cdr:y>0.35504</cdr:y>
    </cdr:from>
    <cdr:to>
      <cdr:x>0.37826</cdr:x>
      <cdr:y>0.45906</cdr:y>
    </cdr:to>
    <cdr:sp macro="" textlink="">
      <cdr:nvSpPr>
        <cdr:cNvPr id="28" name="Textfeld 27"/>
        <cdr:cNvSpPr txBox="1"/>
      </cdr:nvSpPr>
      <cdr:spPr>
        <a:xfrm xmlns:a="http://schemas.openxmlformats.org/drawingml/2006/main">
          <a:off x="1321091" y="1223911"/>
          <a:ext cx="1030869" cy="3585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a:solidFill>
                <a:schemeClr val="accent2"/>
              </a:solidFill>
            </a:rPr>
            <a:t>No Piece Rate</a:t>
          </a:r>
        </a:p>
      </cdr:txBody>
    </cdr:sp>
  </cdr:relSizeAnchor>
  <cdr:relSizeAnchor xmlns:cdr="http://schemas.openxmlformats.org/drawingml/2006/chartDrawing">
    <cdr:from>
      <cdr:x>0.62105</cdr:x>
      <cdr:y>0.62899</cdr:y>
    </cdr:from>
    <cdr:to>
      <cdr:x>0.64342</cdr:x>
      <cdr:y>0.66585</cdr:y>
    </cdr:to>
    <cdr:sp macro="" textlink="">
      <cdr:nvSpPr>
        <cdr:cNvPr id="30" name="Gerade Verbindung 29"/>
        <cdr:cNvSpPr/>
      </cdr:nvSpPr>
      <cdr:spPr>
        <a:xfrm xmlns:a="http://schemas.openxmlformats.org/drawingml/2006/main">
          <a:off x="4495800" y="2438399"/>
          <a:ext cx="161925" cy="1428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de-DE"/>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3:E24"/>
  <sheetViews>
    <sheetView tabSelected="1" workbookViewId="0">
      <selection activeCell="C10" sqref="C10"/>
    </sheetView>
  </sheetViews>
  <sheetFormatPr baseColWidth="10" defaultColWidth="10.83203125" defaultRowHeight="14" x14ac:dyDescent="0.15"/>
  <cols>
    <col min="1" max="1" width="10.83203125" style="3"/>
    <col min="2" max="2" width="11.6640625" style="3" customWidth="1"/>
    <col min="3" max="3" width="54.1640625" style="5" customWidth="1"/>
    <col min="4" max="4" width="10.83203125" style="3" customWidth="1"/>
    <col min="5" max="5" width="19.1640625" style="3" customWidth="1"/>
    <col min="6" max="16384" width="10.83203125" style="3"/>
  </cols>
  <sheetData>
    <row r="3" spans="2:5" ht="16" x14ac:dyDescent="0.15">
      <c r="B3" s="314" t="s">
        <v>92</v>
      </c>
      <c r="C3" s="314"/>
      <c r="D3" s="314"/>
      <c r="E3" s="314"/>
    </row>
    <row r="4" spans="2:5" s="4" customFormat="1" x14ac:dyDescent="0.15">
      <c r="B4" s="37" t="s">
        <v>83</v>
      </c>
      <c r="C4" s="37" t="s">
        <v>78</v>
      </c>
      <c r="D4" s="38" t="s">
        <v>0</v>
      </c>
      <c r="E4" s="38" t="s">
        <v>1</v>
      </c>
    </row>
    <row r="5" spans="2:5" x14ac:dyDescent="0.15">
      <c r="B5" s="36" t="s">
        <v>57</v>
      </c>
      <c r="C5" s="36" t="s">
        <v>58</v>
      </c>
      <c r="D5" s="36" t="s">
        <v>59</v>
      </c>
      <c r="E5" s="36" t="s">
        <v>60</v>
      </c>
    </row>
    <row r="6" spans="2:5" x14ac:dyDescent="0.15">
      <c r="B6" s="319" t="s">
        <v>3</v>
      </c>
      <c r="C6" s="39" t="s">
        <v>2</v>
      </c>
      <c r="D6" s="319"/>
      <c r="E6" s="24"/>
    </row>
    <row r="7" spans="2:5" ht="26" x14ac:dyDescent="0.15">
      <c r="B7" s="319"/>
      <c r="C7" s="39" t="s">
        <v>62</v>
      </c>
      <c r="D7" s="319"/>
      <c r="E7" s="22"/>
    </row>
    <row r="8" spans="2:5" ht="26" x14ac:dyDescent="0.15">
      <c r="B8" s="319"/>
      <c r="C8" s="39" t="s">
        <v>63</v>
      </c>
      <c r="D8" s="319"/>
      <c r="E8" s="22"/>
    </row>
    <row r="9" spans="2:5" ht="26" x14ac:dyDescent="0.15">
      <c r="B9" s="320"/>
      <c r="C9" s="40" t="s">
        <v>64</v>
      </c>
      <c r="D9" s="320"/>
      <c r="E9" s="30"/>
    </row>
    <row r="10" spans="2:5" ht="32.25" customHeight="1" x14ac:dyDescent="0.15">
      <c r="B10" s="29" t="s">
        <v>86</v>
      </c>
      <c r="C10" s="32" t="s">
        <v>65</v>
      </c>
      <c r="D10" s="30" t="s">
        <v>80</v>
      </c>
      <c r="E10" s="29" t="s">
        <v>4</v>
      </c>
    </row>
    <row r="11" spans="2:5" ht="25.5" customHeight="1" x14ac:dyDescent="0.15">
      <c r="B11" s="318" t="s">
        <v>5</v>
      </c>
      <c r="C11" s="39" t="s">
        <v>66</v>
      </c>
      <c r="D11" s="318" t="s">
        <v>67</v>
      </c>
      <c r="E11" s="318" t="s">
        <v>125</v>
      </c>
    </row>
    <row r="12" spans="2:5" ht="26" x14ac:dyDescent="0.15">
      <c r="B12" s="317"/>
      <c r="C12" s="28" t="s">
        <v>68</v>
      </c>
      <c r="D12" s="317"/>
      <c r="E12" s="317"/>
    </row>
    <row r="13" spans="2:5" ht="39" x14ac:dyDescent="0.15">
      <c r="B13" s="29" t="s">
        <v>85</v>
      </c>
      <c r="C13" s="32" t="s">
        <v>69</v>
      </c>
      <c r="D13" s="29"/>
      <c r="E13" s="29" t="s">
        <v>122</v>
      </c>
    </row>
    <row r="14" spans="2:5" ht="39" x14ac:dyDescent="0.15">
      <c r="B14" s="321" t="s">
        <v>7</v>
      </c>
      <c r="C14" s="39" t="s">
        <v>70</v>
      </c>
      <c r="D14" s="316" t="s">
        <v>61</v>
      </c>
      <c r="E14" s="318" t="s">
        <v>79</v>
      </c>
    </row>
    <row r="15" spans="2:5" ht="39" x14ac:dyDescent="0.15">
      <c r="B15" s="320"/>
      <c r="C15" s="40" t="s">
        <v>71</v>
      </c>
      <c r="D15" s="317"/>
      <c r="E15" s="317"/>
    </row>
    <row r="16" spans="2:5" ht="25.5" customHeight="1" x14ac:dyDescent="0.15">
      <c r="B16" s="318" t="s">
        <v>8</v>
      </c>
      <c r="C16" s="39" t="s">
        <v>72</v>
      </c>
      <c r="D16" s="318" t="s">
        <v>9</v>
      </c>
      <c r="E16" s="318" t="s">
        <v>10</v>
      </c>
    </row>
    <row r="17" spans="2:5" ht="39" x14ac:dyDescent="0.15">
      <c r="B17" s="318"/>
      <c r="C17" s="39" t="s">
        <v>73</v>
      </c>
      <c r="D17" s="318"/>
      <c r="E17" s="318"/>
    </row>
    <row r="18" spans="2:5" ht="26" x14ac:dyDescent="0.15">
      <c r="B18" s="317"/>
      <c r="C18" s="40" t="s">
        <v>74</v>
      </c>
      <c r="D18" s="317"/>
      <c r="E18" s="317"/>
    </row>
    <row r="19" spans="2:5" ht="53.25" customHeight="1" x14ac:dyDescent="0.15">
      <c r="B19" s="318" t="s">
        <v>11</v>
      </c>
      <c r="C19" s="39" t="s">
        <v>84</v>
      </c>
      <c r="D19" s="318" t="s">
        <v>12</v>
      </c>
      <c r="E19" s="318" t="s">
        <v>121</v>
      </c>
    </row>
    <row r="20" spans="2:5" ht="50.25" customHeight="1" x14ac:dyDescent="0.15">
      <c r="B20" s="317"/>
      <c r="C20" s="28" t="s">
        <v>75</v>
      </c>
      <c r="D20" s="317"/>
      <c r="E20" s="317"/>
    </row>
    <row r="21" spans="2:5" ht="39" x14ac:dyDescent="0.15">
      <c r="B21" s="29" t="s">
        <v>13</v>
      </c>
      <c r="C21" s="32" t="s">
        <v>81</v>
      </c>
      <c r="D21" s="30"/>
      <c r="E21" s="29" t="s">
        <v>14</v>
      </c>
    </row>
    <row r="22" spans="2:5" ht="41.25" customHeight="1" x14ac:dyDescent="0.15">
      <c r="B22" s="27" t="s">
        <v>15</v>
      </c>
      <c r="C22" s="21" t="s">
        <v>76</v>
      </c>
      <c r="D22" s="22"/>
      <c r="E22" s="25" t="s">
        <v>123</v>
      </c>
    </row>
    <row r="23" spans="2:5" ht="54" customHeight="1" thickBot="1" x14ac:dyDescent="0.2">
      <c r="B23" s="34" t="s">
        <v>16</v>
      </c>
      <c r="C23" s="33" t="s">
        <v>77</v>
      </c>
      <c r="D23" s="23"/>
      <c r="E23" s="35" t="s">
        <v>17</v>
      </c>
    </row>
    <row r="24" spans="2:5" ht="47.25" customHeight="1" thickTop="1" x14ac:dyDescent="0.15">
      <c r="B24" s="315" t="s">
        <v>87</v>
      </c>
      <c r="C24" s="315"/>
      <c r="D24" s="315"/>
      <c r="E24" s="315"/>
    </row>
  </sheetData>
  <mergeCells count="16">
    <mergeCell ref="B3:E3"/>
    <mergeCell ref="B24:E24"/>
    <mergeCell ref="D14:D15"/>
    <mergeCell ref="E14:E15"/>
    <mergeCell ref="D16:D18"/>
    <mergeCell ref="E16:E18"/>
    <mergeCell ref="D19:D20"/>
    <mergeCell ref="E19:E20"/>
    <mergeCell ref="B6:B9"/>
    <mergeCell ref="B11:B12"/>
    <mergeCell ref="B14:B15"/>
    <mergeCell ref="B16:B18"/>
    <mergeCell ref="B19:B20"/>
    <mergeCell ref="D6:D9"/>
    <mergeCell ref="D11:D12"/>
    <mergeCell ref="E11:E12"/>
  </mergeCells>
  <phoneticPr fontId="37" type="noConversion"/>
  <pageMargins left="0.7" right="0.7" top="0.75" bottom="0.75" header="0.3" footer="0.3"/>
  <pageSetup paperSize="9" scale="77" orientation="portrait" verticalDpi="599"/>
  <colBreaks count="1" manualBreakCount="1">
    <brk id="5" max="1048575" man="1"/>
  </colBreaks>
  <ignoredErrors>
    <ignoredError sqref="B5:E5" numberStoredAsText="1"/>
  </ignoredError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3:M30"/>
  <sheetViews>
    <sheetView zoomScale="96" zoomScaleNormal="75" zoomScalePageLayoutView="75" workbookViewId="0">
      <selection activeCell="B3" sqref="B3:I29"/>
    </sheetView>
  </sheetViews>
  <sheetFormatPr baseColWidth="10" defaultColWidth="10.83203125" defaultRowHeight="14" x14ac:dyDescent="0.15"/>
  <cols>
    <col min="1" max="1" width="10.83203125" style="3"/>
    <col min="2" max="2" width="22.5" style="5" customWidth="1"/>
    <col min="3" max="3" width="12.1640625" style="5" customWidth="1"/>
    <col min="4" max="4" width="10.6640625" style="5" customWidth="1"/>
    <col min="5" max="5" width="17" style="5" customWidth="1"/>
    <col min="6" max="6" width="20" style="5" customWidth="1"/>
    <col min="7" max="7" width="15.33203125" style="5" customWidth="1"/>
    <col min="8" max="8" width="22" style="5" customWidth="1"/>
    <col min="9" max="9" width="23" style="5" customWidth="1"/>
    <col min="10" max="10" width="10.83203125" style="132"/>
    <col min="11" max="11" width="10.83203125" style="130"/>
    <col min="12" max="16384" width="10.83203125" style="3"/>
  </cols>
  <sheetData>
    <row r="3" spans="2:13" ht="16" x14ac:dyDescent="0.15">
      <c r="B3" s="314" t="s">
        <v>686</v>
      </c>
      <c r="C3" s="314"/>
      <c r="D3" s="314"/>
      <c r="E3" s="314"/>
      <c r="F3" s="314"/>
      <c r="G3" s="314"/>
      <c r="H3" s="314"/>
      <c r="I3" s="314"/>
      <c r="J3" s="3"/>
      <c r="K3" s="3"/>
      <c r="L3" s="132"/>
      <c r="M3" s="130"/>
    </row>
    <row r="4" spans="2:13" s="4" customFormat="1" ht="45.75" customHeight="1" x14ac:dyDescent="0.15">
      <c r="B4" s="166" t="s">
        <v>218</v>
      </c>
      <c r="C4" s="166" t="s">
        <v>287</v>
      </c>
      <c r="D4" s="166" t="s">
        <v>131</v>
      </c>
      <c r="E4" s="166" t="s">
        <v>730</v>
      </c>
      <c r="F4" s="166" t="s">
        <v>682</v>
      </c>
      <c r="G4" s="166" t="s">
        <v>685</v>
      </c>
      <c r="H4" s="166" t="s">
        <v>684</v>
      </c>
      <c r="I4" s="166" t="s">
        <v>683</v>
      </c>
      <c r="J4" s="133"/>
      <c r="K4" s="131"/>
    </row>
    <row r="5" spans="2:13" x14ac:dyDescent="0.15">
      <c r="B5" s="36" t="s">
        <v>57</v>
      </c>
      <c r="C5" s="36" t="s">
        <v>58</v>
      </c>
      <c r="D5" s="36" t="s">
        <v>59</v>
      </c>
      <c r="E5" s="36" t="s">
        <v>60</v>
      </c>
      <c r="F5" s="36" t="s">
        <v>91</v>
      </c>
      <c r="G5" s="36" t="s">
        <v>95</v>
      </c>
      <c r="H5" s="36" t="s">
        <v>171</v>
      </c>
      <c r="I5" s="36" t="s">
        <v>172</v>
      </c>
    </row>
    <row r="6" spans="2:13" ht="26" x14ac:dyDescent="0.15">
      <c r="B6" s="164" t="s">
        <v>687</v>
      </c>
      <c r="C6" s="164" t="s">
        <v>681</v>
      </c>
      <c r="D6" s="164">
        <v>9502</v>
      </c>
      <c r="E6" s="164" t="s">
        <v>680</v>
      </c>
      <c r="F6" s="164" t="s">
        <v>712</v>
      </c>
      <c r="G6" s="164">
        <v>0.61</v>
      </c>
      <c r="H6" s="169">
        <v>5.5E-2</v>
      </c>
      <c r="I6" s="169">
        <v>0.42099999999999999</v>
      </c>
    </row>
    <row r="7" spans="2:13" ht="26" x14ac:dyDescent="0.15">
      <c r="B7" s="164" t="s">
        <v>688</v>
      </c>
      <c r="C7" s="164" t="s">
        <v>701</v>
      </c>
      <c r="D7" s="164">
        <v>798</v>
      </c>
      <c r="E7" s="173" t="s">
        <v>680</v>
      </c>
      <c r="F7" s="164" t="s">
        <v>713</v>
      </c>
      <c r="G7" s="164" t="s">
        <v>705</v>
      </c>
      <c r="H7" s="169" t="s">
        <v>722</v>
      </c>
      <c r="I7" s="169" t="s">
        <v>723</v>
      </c>
    </row>
    <row r="8" spans="2:13" x14ac:dyDescent="0.15">
      <c r="B8" s="164" t="s">
        <v>689</v>
      </c>
      <c r="C8" s="167" t="s">
        <v>744</v>
      </c>
      <c r="D8" s="164">
        <v>662</v>
      </c>
      <c r="E8" s="173" t="s">
        <v>680</v>
      </c>
      <c r="F8" s="173" t="s">
        <v>712</v>
      </c>
      <c r="G8" s="164">
        <v>0.56000000000000005</v>
      </c>
      <c r="H8" s="169">
        <v>6.7000000000000004E-2</v>
      </c>
      <c r="I8" s="169">
        <v>0.39300000000000002</v>
      </c>
    </row>
    <row r="9" spans="2:13" x14ac:dyDescent="0.15">
      <c r="B9" s="167" t="s">
        <v>690</v>
      </c>
      <c r="C9" s="164" t="s">
        <v>291</v>
      </c>
      <c r="D9" s="164">
        <v>714</v>
      </c>
      <c r="E9" s="173" t="s">
        <v>680</v>
      </c>
      <c r="F9" s="173" t="s">
        <v>712</v>
      </c>
      <c r="G9" s="164">
        <v>0.71</v>
      </c>
      <c r="H9" s="169" t="s">
        <v>725</v>
      </c>
      <c r="I9" s="169" t="s">
        <v>724</v>
      </c>
    </row>
    <row r="10" spans="2:13" ht="26" x14ac:dyDescent="0.15">
      <c r="B10" s="164" t="s">
        <v>691</v>
      </c>
      <c r="C10" s="164" t="s">
        <v>750</v>
      </c>
      <c r="D10" s="164">
        <v>166</v>
      </c>
      <c r="E10" s="173" t="s">
        <v>680</v>
      </c>
      <c r="F10" s="173" t="s">
        <v>712</v>
      </c>
      <c r="G10" s="140">
        <v>0.83</v>
      </c>
      <c r="H10" s="169">
        <v>2.1999999999999999E-2</v>
      </c>
      <c r="I10" s="169">
        <v>0.48799999999999999</v>
      </c>
    </row>
    <row r="11" spans="2:13" x14ac:dyDescent="0.15">
      <c r="B11" s="164" t="s">
        <v>692</v>
      </c>
      <c r="C11" s="164" t="s">
        <v>291</v>
      </c>
      <c r="D11" s="164">
        <v>215</v>
      </c>
      <c r="E11" s="164" t="s">
        <v>716</v>
      </c>
      <c r="F11" s="164" t="s">
        <v>713</v>
      </c>
      <c r="G11" s="164" t="s">
        <v>705</v>
      </c>
      <c r="H11" s="169" t="s">
        <v>728</v>
      </c>
      <c r="I11" s="169" t="s">
        <v>729</v>
      </c>
    </row>
    <row r="12" spans="2:13" x14ac:dyDescent="0.15">
      <c r="B12" s="164" t="s">
        <v>693</v>
      </c>
      <c r="C12" s="164" t="s">
        <v>291</v>
      </c>
      <c r="D12" s="164">
        <v>687</v>
      </c>
      <c r="E12" s="173" t="s">
        <v>680</v>
      </c>
      <c r="F12" s="164" t="s">
        <v>713</v>
      </c>
      <c r="G12" s="164">
        <v>0.6</v>
      </c>
      <c r="H12" s="169" t="s">
        <v>726</v>
      </c>
      <c r="I12" s="169" t="s">
        <v>727</v>
      </c>
    </row>
    <row r="13" spans="2:13" ht="26" x14ac:dyDescent="0.15">
      <c r="B13" s="164" t="s">
        <v>694</v>
      </c>
      <c r="C13" s="164" t="s">
        <v>702</v>
      </c>
      <c r="D13" s="164">
        <v>904</v>
      </c>
      <c r="E13" s="164" t="s">
        <v>717</v>
      </c>
      <c r="F13" s="173" t="s">
        <v>713</v>
      </c>
      <c r="G13" s="164" t="s">
        <v>705</v>
      </c>
      <c r="H13" s="169">
        <v>3.1E-2</v>
      </c>
      <c r="I13" s="169">
        <v>0.435</v>
      </c>
    </row>
    <row r="14" spans="2:13" ht="26" x14ac:dyDescent="0.15">
      <c r="B14" s="157" t="s">
        <v>695</v>
      </c>
      <c r="C14" s="176" t="s">
        <v>744</v>
      </c>
      <c r="D14" s="157">
        <v>335</v>
      </c>
      <c r="E14" s="173" t="s">
        <v>680</v>
      </c>
      <c r="F14" s="157" t="s">
        <v>714</v>
      </c>
      <c r="G14" s="157">
        <v>0.435</v>
      </c>
      <c r="H14" s="170" t="s">
        <v>731</v>
      </c>
      <c r="I14" s="170" t="s">
        <v>732</v>
      </c>
    </row>
    <row r="15" spans="2:13" ht="26" x14ac:dyDescent="0.15">
      <c r="B15" s="157" t="s">
        <v>696</v>
      </c>
      <c r="C15" s="157" t="s">
        <v>703</v>
      </c>
      <c r="D15" s="157">
        <v>143</v>
      </c>
      <c r="E15" s="173" t="s">
        <v>680</v>
      </c>
      <c r="F15" s="173" t="s">
        <v>712</v>
      </c>
      <c r="G15" s="157">
        <v>1.3839999999999999</v>
      </c>
      <c r="H15" s="170" t="s">
        <v>734</v>
      </c>
      <c r="I15" s="170" t="s">
        <v>733</v>
      </c>
    </row>
    <row r="16" spans="2:13" ht="26" x14ac:dyDescent="0.15">
      <c r="B16" s="157" t="s">
        <v>697</v>
      </c>
      <c r="C16" s="157" t="s">
        <v>397</v>
      </c>
      <c r="D16" s="157">
        <v>223</v>
      </c>
      <c r="E16" s="173" t="s">
        <v>680</v>
      </c>
      <c r="F16" s="173" t="s">
        <v>713</v>
      </c>
      <c r="G16" s="162" t="s">
        <v>705</v>
      </c>
      <c r="H16" s="170" t="s">
        <v>735</v>
      </c>
      <c r="I16" s="172" t="s">
        <v>736</v>
      </c>
    </row>
    <row r="17" spans="2:9" ht="26" x14ac:dyDescent="0.15">
      <c r="B17" s="157" t="s">
        <v>698</v>
      </c>
      <c r="C17" s="157" t="s">
        <v>738</v>
      </c>
      <c r="D17" s="157">
        <v>32</v>
      </c>
      <c r="E17" s="157" t="s">
        <v>718</v>
      </c>
      <c r="F17" s="173" t="s">
        <v>712</v>
      </c>
      <c r="G17" s="157">
        <v>1.37</v>
      </c>
      <c r="H17" s="170" t="s">
        <v>734</v>
      </c>
      <c r="I17" s="170" t="s">
        <v>737</v>
      </c>
    </row>
    <row r="18" spans="2:9" x14ac:dyDescent="0.15">
      <c r="B18" s="165" t="s">
        <v>699</v>
      </c>
      <c r="C18" s="165" t="s">
        <v>704</v>
      </c>
      <c r="D18" s="165">
        <v>135</v>
      </c>
      <c r="E18" s="173" t="s">
        <v>680</v>
      </c>
      <c r="F18" s="165" t="s">
        <v>714</v>
      </c>
      <c r="G18" s="165">
        <v>0.69</v>
      </c>
      <c r="H18" s="171" t="s">
        <v>739</v>
      </c>
      <c r="I18" s="171" t="s">
        <v>740</v>
      </c>
    </row>
    <row r="19" spans="2:9" ht="26" x14ac:dyDescent="0.15">
      <c r="B19" s="157" t="s">
        <v>700</v>
      </c>
      <c r="C19" s="157" t="s">
        <v>399</v>
      </c>
      <c r="D19" s="157">
        <v>472</v>
      </c>
      <c r="E19" s="173" t="s">
        <v>680</v>
      </c>
      <c r="F19" s="157" t="s">
        <v>714</v>
      </c>
      <c r="G19" s="157">
        <v>0.74</v>
      </c>
      <c r="H19" s="170">
        <v>4.4999999999999998E-2</v>
      </c>
      <c r="I19" s="170">
        <v>0.46700000000000003</v>
      </c>
    </row>
    <row r="20" spans="2:9" ht="39" x14ac:dyDescent="0.15">
      <c r="B20" s="157" t="s">
        <v>706</v>
      </c>
      <c r="C20" s="157" t="s">
        <v>399</v>
      </c>
      <c r="D20" s="157">
        <v>112</v>
      </c>
      <c r="E20" s="157" t="s">
        <v>719</v>
      </c>
      <c r="F20" s="157" t="s">
        <v>715</v>
      </c>
      <c r="G20" s="157" t="s">
        <v>705</v>
      </c>
      <c r="H20" s="175" t="s">
        <v>130</v>
      </c>
      <c r="I20" s="170" t="s">
        <v>705</v>
      </c>
    </row>
    <row r="21" spans="2:9" ht="26" x14ac:dyDescent="0.15">
      <c r="B21" s="157" t="s">
        <v>707</v>
      </c>
      <c r="C21" s="157" t="s">
        <v>711</v>
      </c>
      <c r="D21" s="157">
        <v>180</v>
      </c>
      <c r="E21" s="157" t="s">
        <v>720</v>
      </c>
      <c r="F21" s="157" t="s">
        <v>714</v>
      </c>
      <c r="G21" s="157">
        <v>0.92800000000000005</v>
      </c>
      <c r="H21" s="170">
        <v>0.02</v>
      </c>
      <c r="I21" s="170">
        <v>0.49099999999999999</v>
      </c>
    </row>
    <row r="22" spans="2:9" x14ac:dyDescent="0.15">
      <c r="B22" s="157" t="s">
        <v>709</v>
      </c>
      <c r="C22" s="157" t="s">
        <v>710</v>
      </c>
      <c r="D22" s="157">
        <v>5</v>
      </c>
      <c r="E22" s="157" t="s">
        <v>721</v>
      </c>
      <c r="F22" s="157" t="s">
        <v>714</v>
      </c>
      <c r="G22" s="157">
        <v>0.89</v>
      </c>
      <c r="H22" s="170">
        <v>0.02</v>
      </c>
      <c r="I22" s="170">
        <v>0.48599999999999999</v>
      </c>
    </row>
    <row r="23" spans="2:9" x14ac:dyDescent="0.15">
      <c r="B23" s="157" t="s">
        <v>708</v>
      </c>
      <c r="C23" s="157" t="s">
        <v>290</v>
      </c>
      <c r="D23" s="157">
        <v>35</v>
      </c>
      <c r="E23" s="157" t="s">
        <v>741</v>
      </c>
      <c r="F23" s="173" t="s">
        <v>712</v>
      </c>
      <c r="G23" s="157">
        <v>0.622</v>
      </c>
      <c r="H23" s="170" t="s">
        <v>742</v>
      </c>
      <c r="I23" s="170" t="s">
        <v>743</v>
      </c>
    </row>
    <row r="24" spans="2:9" ht="8.25" customHeight="1" x14ac:dyDescent="0.15">
      <c r="B24" s="157"/>
      <c r="C24" s="157"/>
      <c r="D24" s="157"/>
      <c r="E24" s="157"/>
      <c r="F24" s="174"/>
      <c r="G24" s="157"/>
      <c r="H24" s="170"/>
      <c r="I24" s="170"/>
    </row>
    <row r="25" spans="2:9" ht="17.25" customHeight="1" x14ac:dyDescent="0.15">
      <c r="B25" s="359" t="s">
        <v>745</v>
      </c>
      <c r="C25" s="359"/>
      <c r="D25" s="359"/>
      <c r="E25" s="359"/>
      <c r="F25" s="157"/>
      <c r="G25" s="157"/>
      <c r="H25" s="179" t="s">
        <v>747</v>
      </c>
      <c r="I25" s="179" t="s">
        <v>746</v>
      </c>
    </row>
    <row r="26" spans="2:9" ht="18" customHeight="1" x14ac:dyDescent="0.15">
      <c r="B26" s="359" t="s">
        <v>785</v>
      </c>
      <c r="C26" s="359"/>
      <c r="D26" s="359"/>
      <c r="E26" s="359"/>
      <c r="F26" s="359"/>
      <c r="G26" s="359"/>
      <c r="H26" s="180" t="s">
        <v>748</v>
      </c>
      <c r="I26" s="181" t="s">
        <v>749</v>
      </c>
    </row>
    <row r="27" spans="2:9" ht="18" customHeight="1" x14ac:dyDescent="0.15">
      <c r="B27" s="359" t="s">
        <v>786</v>
      </c>
      <c r="C27" s="359"/>
      <c r="D27" s="359"/>
      <c r="E27" s="359"/>
      <c r="F27" s="359"/>
      <c r="G27" s="359"/>
      <c r="H27" s="180" t="s">
        <v>788</v>
      </c>
      <c r="I27" s="181" t="s">
        <v>789</v>
      </c>
    </row>
    <row r="28" spans="2:9" ht="18" customHeight="1" x14ac:dyDescent="0.15">
      <c r="B28" s="359" t="s">
        <v>787</v>
      </c>
      <c r="C28" s="359"/>
      <c r="D28" s="359"/>
      <c r="E28" s="359"/>
      <c r="F28" s="359"/>
      <c r="G28" s="359"/>
      <c r="H28" s="180" t="s">
        <v>790</v>
      </c>
      <c r="I28" s="181" t="s">
        <v>791</v>
      </c>
    </row>
    <row r="29" spans="2:9" ht="45.75" customHeight="1" x14ac:dyDescent="0.15">
      <c r="B29" s="324" t="s">
        <v>792</v>
      </c>
      <c r="C29" s="324"/>
      <c r="D29" s="324"/>
      <c r="E29" s="324"/>
      <c r="F29" s="324"/>
      <c r="G29" s="324"/>
      <c r="H29" s="324"/>
      <c r="I29" s="324"/>
    </row>
    <row r="30" spans="2:9" ht="25.5" customHeight="1" x14ac:dyDescent="0.15">
      <c r="B30" s="177"/>
      <c r="C30" s="177"/>
      <c r="D30" s="177"/>
      <c r="E30" s="177"/>
      <c r="F30" s="178"/>
      <c r="G30" s="178"/>
      <c r="H30" s="139"/>
      <c r="I30" s="148"/>
    </row>
  </sheetData>
  <mergeCells count="6">
    <mergeCell ref="B3:I3"/>
    <mergeCell ref="B29:I29"/>
    <mergeCell ref="B25:E25"/>
    <mergeCell ref="B28:G28"/>
    <mergeCell ref="B26:G26"/>
    <mergeCell ref="B27:G27"/>
  </mergeCells>
  <pageMargins left="0.7" right="0.7" top="0.75" bottom="0.75" header="0.3" footer="0.3"/>
  <pageSetup paperSize="9" orientation="portrait" verticalDpi="599"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M42"/>
  <sheetViews>
    <sheetView zoomScale="101" zoomScaleNormal="90" zoomScalePageLayoutView="90" workbookViewId="0">
      <selection activeCell="C15" sqref="C15:D15"/>
    </sheetView>
  </sheetViews>
  <sheetFormatPr baseColWidth="10" defaultColWidth="8.83203125" defaultRowHeight="13" x14ac:dyDescent="0.15"/>
  <cols>
    <col min="1" max="1" width="2.1640625" style="41" customWidth="1"/>
    <col min="2" max="2" width="32.1640625" style="41" customWidth="1"/>
    <col min="3" max="3" width="13" style="41" customWidth="1"/>
    <col min="4" max="4" width="13.5" style="41" customWidth="1"/>
    <col min="5" max="5" width="1.5" style="41" customWidth="1"/>
    <col min="6" max="6" width="13.1640625" style="41" customWidth="1"/>
    <col min="7" max="7" width="13.83203125" style="41" customWidth="1"/>
    <col min="8" max="8" width="1.5" style="41" customWidth="1"/>
    <col min="9" max="9" width="12.33203125" style="41" customWidth="1"/>
    <col min="10" max="10" width="13.33203125" style="41" customWidth="1"/>
    <col min="11" max="11" width="1.5" style="41" customWidth="1"/>
    <col min="12" max="12" width="11.83203125" style="41" customWidth="1"/>
    <col min="13" max="13" width="13.5" style="41" customWidth="1"/>
    <col min="14" max="16384" width="8.83203125" style="41"/>
  </cols>
  <sheetData>
    <row r="1" spans="1:13" ht="15.75" customHeight="1" x14ac:dyDescent="0.2">
      <c r="A1" s="333" t="s">
        <v>663</v>
      </c>
      <c r="B1" s="333"/>
      <c r="C1" s="333"/>
      <c r="D1" s="333"/>
      <c r="E1" s="333"/>
      <c r="F1" s="333"/>
      <c r="G1" s="333"/>
      <c r="H1" s="333"/>
      <c r="I1" s="333"/>
      <c r="J1" s="333"/>
      <c r="K1" s="333"/>
      <c r="L1" s="333"/>
      <c r="M1" s="333"/>
    </row>
    <row r="2" spans="1:13" s="47" customFormat="1" ht="4.5" customHeight="1" thickBot="1" x14ac:dyDescent="0.25">
      <c r="A2" s="43"/>
      <c r="B2" s="43"/>
      <c r="C2" s="43"/>
      <c r="D2" s="43"/>
      <c r="E2" s="43"/>
      <c r="F2" s="43"/>
      <c r="G2" s="43"/>
      <c r="H2" s="43"/>
      <c r="I2" s="43"/>
      <c r="J2" s="43"/>
      <c r="K2" s="43"/>
      <c r="L2" s="43"/>
      <c r="M2" s="43"/>
    </row>
    <row r="3" spans="1:13" ht="4.5" customHeight="1" thickTop="1" x14ac:dyDescent="0.15">
      <c r="B3" s="48"/>
    </row>
    <row r="4" spans="1:13" ht="12.75" customHeight="1" x14ac:dyDescent="0.15">
      <c r="A4" s="328" t="s">
        <v>133</v>
      </c>
      <c r="B4" s="328"/>
      <c r="C4" s="329" t="s">
        <v>98</v>
      </c>
      <c r="D4" s="329"/>
      <c r="E4" s="329"/>
      <c r="F4" s="329"/>
      <c r="G4" s="329"/>
      <c r="H4" s="329"/>
      <c r="I4" s="329"/>
      <c r="J4" s="329"/>
      <c r="K4" s="329"/>
      <c r="L4" s="329"/>
      <c r="M4" s="329"/>
    </row>
    <row r="5" spans="1:13" ht="15.75" customHeight="1" x14ac:dyDescent="0.15">
      <c r="A5" s="328" t="s">
        <v>132</v>
      </c>
      <c r="B5" s="328"/>
      <c r="C5" s="329" t="s">
        <v>155</v>
      </c>
      <c r="D5" s="329"/>
      <c r="E5" s="329"/>
      <c r="F5" s="329"/>
      <c r="G5" s="329"/>
      <c r="H5" s="329"/>
      <c r="I5" s="329"/>
      <c r="J5" s="329"/>
      <c r="K5" s="329"/>
      <c r="L5" s="329"/>
      <c r="M5" s="329"/>
    </row>
    <row r="6" spans="1:13" ht="15.75" customHeight="1" x14ac:dyDescent="0.15">
      <c r="A6" s="328" t="s">
        <v>183</v>
      </c>
      <c r="B6" s="328"/>
      <c r="C6" s="364" t="s">
        <v>187</v>
      </c>
      <c r="D6" s="364"/>
      <c r="E6" s="125"/>
      <c r="F6" s="364" t="s">
        <v>186</v>
      </c>
      <c r="G6" s="364"/>
      <c r="H6" s="125"/>
      <c r="I6" s="364" t="s">
        <v>184</v>
      </c>
      <c r="J6" s="364"/>
      <c r="K6" s="125"/>
      <c r="L6" s="364" t="s">
        <v>185</v>
      </c>
      <c r="M6" s="364"/>
    </row>
    <row r="7" spans="1:13" s="50" customFormat="1" ht="15" customHeight="1" x14ac:dyDescent="0.15">
      <c r="B7" s="51"/>
      <c r="C7" s="334">
        <v>-1</v>
      </c>
      <c r="D7" s="334"/>
      <c r="E7" s="56"/>
      <c r="F7" s="334">
        <v>-2</v>
      </c>
      <c r="G7" s="334"/>
      <c r="H7" s="56"/>
      <c r="I7" s="334">
        <v>-3</v>
      </c>
      <c r="J7" s="334"/>
      <c r="K7" s="56"/>
      <c r="L7" s="334">
        <v>-4</v>
      </c>
      <c r="M7" s="334"/>
    </row>
    <row r="8" spans="1:13" s="55" customFormat="1" ht="15" customHeight="1" x14ac:dyDescent="0.15">
      <c r="A8" s="64" t="s">
        <v>96</v>
      </c>
      <c r="C8" s="56"/>
      <c r="D8" s="56"/>
      <c r="E8" s="56"/>
      <c r="F8" s="56"/>
      <c r="G8" s="56"/>
      <c r="H8" s="56"/>
      <c r="I8" s="56"/>
      <c r="J8" s="56"/>
      <c r="K8" s="56"/>
      <c r="L8" s="56"/>
      <c r="M8" s="56"/>
    </row>
    <row r="9" spans="1:13" ht="13.5" customHeight="1" x14ac:dyDescent="0.15">
      <c r="B9" s="110" t="s">
        <v>136</v>
      </c>
      <c r="C9" s="335">
        <v>0.01</v>
      </c>
      <c r="D9" s="335"/>
      <c r="E9" s="123"/>
      <c r="F9" s="342">
        <v>0.02</v>
      </c>
      <c r="G9" s="342"/>
      <c r="H9" s="124"/>
      <c r="I9" s="339">
        <v>1.3760471E-2</v>
      </c>
      <c r="J9" s="339"/>
      <c r="K9" s="117"/>
      <c r="L9" s="344">
        <v>1.585893E-2</v>
      </c>
      <c r="M9" s="344"/>
    </row>
    <row r="10" spans="1:13" ht="12.75" customHeight="1" x14ac:dyDescent="0.15">
      <c r="B10" s="110" t="s">
        <v>137</v>
      </c>
      <c r="C10" s="360" t="s">
        <v>141</v>
      </c>
      <c r="D10" s="360"/>
      <c r="E10" s="113"/>
      <c r="F10" s="360" t="s">
        <v>141</v>
      </c>
      <c r="G10" s="360"/>
      <c r="H10" s="113"/>
      <c r="I10" s="361" t="s">
        <v>174</v>
      </c>
      <c r="J10" s="361"/>
      <c r="K10" s="118"/>
      <c r="L10" s="361">
        <v>-4.0099999999999997E-3</v>
      </c>
      <c r="M10" s="361"/>
    </row>
    <row r="11" spans="1:13" ht="14.25" customHeight="1" x14ac:dyDescent="0.15">
      <c r="B11" s="110" t="s">
        <v>99</v>
      </c>
      <c r="C11" s="337">
        <f>241393.654/10000000000000000</f>
        <v>2.4139365400000002E-11</v>
      </c>
      <c r="D11" s="337"/>
      <c r="E11" s="114"/>
      <c r="F11" s="337">
        <f>0.000180161/10000000000000000</f>
        <v>1.8016100000000001E-20</v>
      </c>
      <c r="G11" s="337"/>
      <c r="H11" s="114"/>
      <c r="I11" s="337">
        <f>134.393994/10000000000000000</f>
        <v>1.34393994E-14</v>
      </c>
      <c r="J11" s="337"/>
      <c r="K11" s="114"/>
      <c r="L11" s="337">
        <f>1.05304693/10000000000000000</f>
        <v>1.0530469300000001E-16</v>
      </c>
      <c r="M11" s="337"/>
    </row>
    <row r="12" spans="1:13" ht="12.75" customHeight="1" x14ac:dyDescent="0.15">
      <c r="B12" s="110" t="s">
        <v>137</v>
      </c>
      <c r="C12" s="341" t="s">
        <v>175</v>
      </c>
      <c r="D12" s="337"/>
      <c r="E12" s="114"/>
      <c r="F12" s="341" t="s">
        <v>176</v>
      </c>
      <c r="G12" s="337"/>
      <c r="H12" s="114"/>
      <c r="I12" s="341" t="s">
        <v>177</v>
      </c>
      <c r="J12" s="337"/>
      <c r="K12" s="114"/>
      <c r="L12" s="336" t="s">
        <v>178</v>
      </c>
      <c r="M12" s="336"/>
    </row>
    <row r="13" spans="1:13" s="98" customFormat="1" ht="15" customHeight="1" x14ac:dyDescent="0.15">
      <c r="B13" s="122" t="s">
        <v>173</v>
      </c>
      <c r="C13" s="337">
        <f>98.6017659/1000000</f>
        <v>9.8601765899999997E-5</v>
      </c>
      <c r="D13" s="337"/>
      <c r="E13" s="114"/>
      <c r="F13" s="337">
        <f>0.29832974/1000000</f>
        <v>2.9832974000000001E-7</v>
      </c>
      <c r="G13" s="337"/>
      <c r="H13" s="114"/>
      <c r="I13" s="337">
        <f>16.7259335/1000000</f>
        <v>1.67259335E-5</v>
      </c>
      <c r="J13" s="337"/>
      <c r="K13" s="114"/>
      <c r="L13" s="337">
        <f>3.13361793/1000000</f>
        <v>3.1336179300000004E-6</v>
      </c>
      <c r="M13" s="337"/>
    </row>
    <row r="14" spans="1:13" s="98" customFormat="1" ht="13.5" customHeight="1" x14ac:dyDescent="0.15">
      <c r="B14" s="122" t="s">
        <v>935</v>
      </c>
      <c r="C14" s="341" t="s">
        <v>919</v>
      </c>
      <c r="D14" s="337"/>
      <c r="E14" s="114"/>
      <c r="F14" s="336" t="s">
        <v>918</v>
      </c>
      <c r="G14" s="336"/>
      <c r="H14" s="115"/>
      <c r="I14" s="341" t="s">
        <v>917</v>
      </c>
      <c r="J14" s="337"/>
      <c r="K14" s="114"/>
      <c r="L14" s="336" t="s">
        <v>916</v>
      </c>
      <c r="M14" s="336"/>
    </row>
    <row r="15" spans="1:13" ht="14.25" customHeight="1" x14ac:dyDescent="0.15">
      <c r="B15" s="110" t="s">
        <v>147</v>
      </c>
      <c r="C15" s="345">
        <v>1</v>
      </c>
      <c r="D15" s="345"/>
      <c r="E15" s="119"/>
      <c r="F15" s="345">
        <v>1</v>
      </c>
      <c r="G15" s="345"/>
      <c r="H15" s="119"/>
      <c r="I15" s="362">
        <v>0.88</v>
      </c>
      <c r="J15" s="362"/>
      <c r="K15" s="120"/>
      <c r="L15" s="345">
        <v>1</v>
      </c>
      <c r="M15" s="345"/>
    </row>
    <row r="16" spans="1:13" ht="11.25" customHeight="1" x14ac:dyDescent="0.15">
      <c r="B16" s="110" t="s">
        <v>3</v>
      </c>
      <c r="C16" s="336" t="s">
        <v>141</v>
      </c>
      <c r="D16" s="336"/>
      <c r="E16" s="115"/>
      <c r="F16" s="336" t="s">
        <v>141</v>
      </c>
      <c r="G16" s="336"/>
      <c r="H16" s="115"/>
      <c r="I16" s="363" t="s">
        <v>141</v>
      </c>
      <c r="J16" s="363"/>
      <c r="K16" s="116"/>
      <c r="L16" s="336" t="s">
        <v>141</v>
      </c>
      <c r="M16" s="336"/>
    </row>
    <row r="17" spans="1:13" ht="18" customHeight="1" x14ac:dyDescent="0.15">
      <c r="B17" s="110"/>
      <c r="C17" s="339"/>
      <c r="D17" s="339"/>
      <c r="E17" s="117"/>
      <c r="F17" s="339"/>
      <c r="G17" s="339"/>
      <c r="H17" s="117"/>
      <c r="I17" s="339"/>
      <c r="J17" s="339"/>
      <c r="K17" s="117"/>
      <c r="L17" s="339"/>
      <c r="M17" s="339"/>
    </row>
    <row r="18" spans="1:13" ht="13.5" customHeight="1" x14ac:dyDescent="0.15">
      <c r="B18" s="110" t="s">
        <v>94</v>
      </c>
      <c r="C18" s="345">
        <v>1664</v>
      </c>
      <c r="D18" s="345"/>
      <c r="E18" s="119"/>
      <c r="F18" s="345">
        <v>1664</v>
      </c>
      <c r="G18" s="345"/>
      <c r="H18" s="119"/>
      <c r="I18" s="345">
        <v>1664</v>
      </c>
      <c r="J18" s="345"/>
      <c r="K18" s="119"/>
      <c r="L18" s="345">
        <v>1664</v>
      </c>
      <c r="M18" s="345"/>
    </row>
    <row r="19" spans="1:13" ht="25.5" customHeight="1" x14ac:dyDescent="0.15">
      <c r="B19" s="110" t="s">
        <v>179</v>
      </c>
      <c r="C19" s="345">
        <f>1/C9*LN((C13/100+0.04)/C11)</f>
        <v>2122.8326014192307</v>
      </c>
      <c r="D19" s="345"/>
      <c r="E19" s="119"/>
      <c r="F19" s="345">
        <f>1/F9*LN((F13/100+0.04)/F11)</f>
        <v>2112.2072700012823</v>
      </c>
      <c r="G19" s="345"/>
      <c r="H19" s="119"/>
      <c r="I19" s="345">
        <v>2115</v>
      </c>
      <c r="J19" s="345"/>
      <c r="K19" s="119"/>
      <c r="L19" s="345">
        <f>1/L9*LN((L13/100+0.04)/L11)</f>
        <v>2116.8388186580523</v>
      </c>
      <c r="M19" s="345"/>
    </row>
    <row r="20" spans="1:13" ht="25.5" customHeight="1" x14ac:dyDescent="0.15">
      <c r="B20" s="110" t="s">
        <v>180</v>
      </c>
      <c r="C20" s="345">
        <f>1/C9*LN((C13/100+0.001)/C11)</f>
        <v>1754.0407441803613</v>
      </c>
      <c r="D20" s="345"/>
      <c r="E20" s="119"/>
      <c r="F20" s="345">
        <f>1/F9*LN((F13/100+0.001)/F11)</f>
        <v>1927.7634427311114</v>
      </c>
      <c r="G20" s="345"/>
      <c r="H20" s="119"/>
      <c r="I20" s="345">
        <v>1880</v>
      </c>
      <c r="J20" s="345"/>
      <c r="K20" s="119"/>
      <c r="L20" s="345">
        <f>1/L9*LN((L13/100+0.001)/L11)</f>
        <v>1884.2349228195706</v>
      </c>
      <c r="M20" s="345"/>
    </row>
    <row r="21" spans="1:13" ht="3.75" customHeight="1" x14ac:dyDescent="0.15">
      <c r="B21" s="110"/>
      <c r="C21" s="78"/>
      <c r="D21" s="78"/>
      <c r="E21" s="78"/>
      <c r="F21" s="78"/>
      <c r="G21" s="78"/>
      <c r="H21" s="78"/>
      <c r="I21" s="78"/>
      <c r="J21" s="78"/>
      <c r="K21" s="78"/>
      <c r="L21" s="78"/>
      <c r="M21" s="78"/>
    </row>
    <row r="22" spans="1:13" s="55" customFormat="1" ht="12" customHeight="1" x14ac:dyDescent="0.15">
      <c r="A22" s="64" t="s">
        <v>139</v>
      </c>
      <c r="C22" s="56"/>
      <c r="D22" s="56"/>
      <c r="E22" s="56"/>
      <c r="F22" s="56"/>
      <c r="G22" s="56"/>
      <c r="H22" s="56"/>
      <c r="I22" s="56"/>
      <c r="J22" s="56"/>
      <c r="K22" s="56"/>
      <c r="L22" s="56"/>
      <c r="M22" s="56"/>
    </row>
    <row r="23" spans="1:13" s="65" customFormat="1" ht="41.25" customHeight="1" x14ac:dyDescent="0.15">
      <c r="B23" s="66"/>
      <c r="C23" s="67" t="s">
        <v>124</v>
      </c>
      <c r="D23" s="67" t="s">
        <v>135</v>
      </c>
      <c r="E23" s="69"/>
      <c r="F23" s="67" t="s">
        <v>124</v>
      </c>
      <c r="G23" s="67" t="s">
        <v>135</v>
      </c>
      <c r="H23" s="69"/>
      <c r="I23" s="67" t="s">
        <v>124</v>
      </c>
      <c r="J23" s="67" t="s">
        <v>135</v>
      </c>
      <c r="K23" s="69"/>
      <c r="L23" s="67" t="s">
        <v>124</v>
      </c>
      <c r="M23" s="67" t="s">
        <v>135</v>
      </c>
    </row>
    <row r="24" spans="1:13" s="50" customFormat="1" ht="15" customHeight="1" x14ac:dyDescent="0.15">
      <c r="B24" s="51"/>
      <c r="C24" s="52">
        <v>-1</v>
      </c>
      <c r="D24" s="52">
        <v>-2</v>
      </c>
      <c r="E24" s="56"/>
      <c r="F24" s="52">
        <v>-3</v>
      </c>
      <c r="G24" s="52">
        <v>-4</v>
      </c>
      <c r="H24" s="56"/>
      <c r="I24" s="52">
        <v>-5</v>
      </c>
      <c r="J24" s="52">
        <v>-6</v>
      </c>
      <c r="K24" s="56"/>
      <c r="L24" s="52">
        <v>-7</v>
      </c>
      <c r="M24" s="52">
        <v>-8</v>
      </c>
    </row>
    <row r="25" spans="1:13" s="55" customFormat="1" ht="11.25" customHeight="1" x14ac:dyDescent="0.15">
      <c r="A25" s="54" t="s">
        <v>104</v>
      </c>
      <c r="C25" s="56"/>
      <c r="D25" s="56"/>
      <c r="E25" s="56"/>
      <c r="I25" s="56"/>
      <c r="J25" s="56"/>
      <c r="K25" s="56"/>
      <c r="M25" s="56"/>
    </row>
    <row r="26" spans="1:13" ht="13.5" customHeight="1" x14ac:dyDescent="0.2">
      <c r="B26" s="110" t="s">
        <v>105</v>
      </c>
      <c r="C26" s="252">
        <v>6.9008100000000003E-3</v>
      </c>
      <c r="D26" s="251">
        <v>0.1</v>
      </c>
      <c r="E26" s="251"/>
      <c r="F26" s="252">
        <v>2.0463399999999998E-3</v>
      </c>
      <c r="G26" s="251">
        <v>5.2999999999999999E-2</v>
      </c>
      <c r="H26" s="251"/>
      <c r="I26" s="252">
        <v>6.9758499999999996E-3</v>
      </c>
      <c r="J26" s="251">
        <v>0.12</v>
      </c>
      <c r="K26" s="251"/>
      <c r="L26" s="252">
        <v>3.1653200000000001E-3</v>
      </c>
      <c r="M26" s="251">
        <v>6.7000000000000004E-2</v>
      </c>
    </row>
    <row r="27" spans="1:13" ht="12.75" customHeight="1" x14ac:dyDescent="0.2">
      <c r="B27" s="110"/>
      <c r="C27" s="251" t="s">
        <v>960</v>
      </c>
      <c r="D27" s="251" t="s">
        <v>985</v>
      </c>
      <c r="E27" s="251"/>
      <c r="F27" s="251" t="s">
        <v>962</v>
      </c>
      <c r="G27" s="251" t="s">
        <v>995</v>
      </c>
      <c r="H27" s="251"/>
      <c r="I27" s="251" t="s">
        <v>965</v>
      </c>
      <c r="J27" s="251" t="s">
        <v>964</v>
      </c>
      <c r="K27" s="251"/>
      <c r="L27" s="251" t="s">
        <v>963</v>
      </c>
      <c r="M27" s="251" t="s">
        <v>982</v>
      </c>
    </row>
    <row r="28" spans="1:13" ht="3" customHeight="1" x14ac:dyDescent="0.2">
      <c r="B28" s="110"/>
      <c r="C28" s="251"/>
      <c r="D28" s="251"/>
      <c r="E28" s="251"/>
      <c r="F28" s="251"/>
      <c r="G28" s="251"/>
      <c r="H28" s="251"/>
      <c r="I28" s="251"/>
      <c r="J28" s="251"/>
      <c r="K28" s="251"/>
      <c r="L28" s="252"/>
      <c r="M28" s="251"/>
    </row>
    <row r="29" spans="1:13" ht="15" customHeight="1" x14ac:dyDescent="0.2">
      <c r="B29" s="110" t="s">
        <v>106</v>
      </c>
      <c r="C29" s="252">
        <v>0.43173993999999999</v>
      </c>
      <c r="D29" s="312">
        <v>0.4</v>
      </c>
      <c r="E29" s="251"/>
      <c r="F29" s="252">
        <v>6.0116069000000001E-2</v>
      </c>
      <c r="G29" s="251">
        <v>3.0000000000000001E-3</v>
      </c>
      <c r="H29" s="251"/>
      <c r="I29" s="252">
        <v>0.31269175999999999</v>
      </c>
      <c r="J29" s="251">
        <v>0.19</v>
      </c>
      <c r="K29" s="251"/>
      <c r="L29" s="95">
        <v>0.13999402999999999</v>
      </c>
      <c r="M29" s="251">
        <v>3.1E-2</v>
      </c>
    </row>
    <row r="30" spans="1:13" ht="15" x14ac:dyDescent="0.2">
      <c r="B30" s="122"/>
      <c r="C30" s="251" t="s">
        <v>920</v>
      </c>
      <c r="D30" s="251" t="s">
        <v>921</v>
      </c>
      <c r="E30" s="251"/>
      <c r="F30" s="251" t="s">
        <v>922</v>
      </c>
      <c r="G30" s="251" t="s">
        <v>968</v>
      </c>
      <c r="H30" s="251"/>
      <c r="I30" s="251" t="s">
        <v>923</v>
      </c>
      <c r="J30" s="251" t="s">
        <v>966</v>
      </c>
      <c r="K30" s="251"/>
      <c r="L30" s="251" t="s">
        <v>994</v>
      </c>
      <c r="M30" s="251" t="s">
        <v>967</v>
      </c>
    </row>
    <row r="31" spans="1:13" ht="3" customHeight="1" x14ac:dyDescent="0.2">
      <c r="B31" s="110"/>
      <c r="C31" s="251"/>
      <c r="D31" s="251"/>
      <c r="E31" s="251"/>
      <c r="F31" s="251"/>
      <c r="G31" s="251"/>
      <c r="H31" s="251"/>
      <c r="I31" s="251"/>
      <c r="J31" s="251"/>
      <c r="K31" s="251"/>
      <c r="L31" s="251"/>
      <c r="M31" s="251"/>
    </row>
    <row r="32" spans="1:13" s="98" customFormat="1" ht="15.75" customHeight="1" x14ac:dyDescent="0.2">
      <c r="B32" s="122" t="s">
        <v>181</v>
      </c>
      <c r="C32" s="253">
        <v>3.02956E-4</v>
      </c>
      <c r="D32" s="253">
        <v>2.9999999999999997E-4</v>
      </c>
      <c r="E32" s="253"/>
      <c r="F32" s="254">
        <v>2.9878999999999998E-6</v>
      </c>
      <c r="G32" s="254">
        <v>4.6999999999999999E-6</v>
      </c>
      <c r="H32" s="253"/>
      <c r="I32" s="254">
        <v>8.4834700000000003E-5</v>
      </c>
      <c r="J32" s="254">
        <v>1E-4</v>
      </c>
      <c r="K32" s="253"/>
      <c r="L32" s="254">
        <v>2.0570000000000001E-5</v>
      </c>
      <c r="M32" s="254">
        <v>2.6999999999999999E-5</v>
      </c>
    </row>
    <row r="33" spans="1:13" s="98" customFormat="1" ht="15" x14ac:dyDescent="0.2">
      <c r="B33" s="122" t="s">
        <v>935</v>
      </c>
      <c r="C33" s="251" t="s">
        <v>986</v>
      </c>
      <c r="D33" s="251" t="s">
        <v>987</v>
      </c>
      <c r="E33" s="251"/>
      <c r="F33" s="251" t="s">
        <v>988</v>
      </c>
      <c r="G33" s="251" t="s">
        <v>989</v>
      </c>
      <c r="H33" s="251"/>
      <c r="I33" s="251" t="s">
        <v>990</v>
      </c>
      <c r="J33" s="251" t="s">
        <v>991</v>
      </c>
      <c r="K33" s="251"/>
      <c r="L33" s="251" t="s">
        <v>992</v>
      </c>
      <c r="M33" s="251" t="s">
        <v>993</v>
      </c>
    </row>
    <row r="34" spans="1:13" s="55" customFormat="1" ht="13.5" customHeight="1" x14ac:dyDescent="0.2">
      <c r="A34" s="54" t="s">
        <v>100</v>
      </c>
      <c r="C34" s="251"/>
      <c r="D34" s="251"/>
      <c r="E34" s="251"/>
      <c r="F34" s="251"/>
      <c r="G34" s="251"/>
      <c r="H34" s="251"/>
      <c r="I34" s="251"/>
      <c r="J34" s="251"/>
      <c r="K34" s="251"/>
      <c r="L34" s="251"/>
      <c r="M34" s="251"/>
    </row>
    <row r="35" spans="1:13" ht="12.75" customHeight="1" x14ac:dyDescent="0.2">
      <c r="B35" s="110" t="s">
        <v>102</v>
      </c>
      <c r="C35" s="95">
        <v>1.7447902399999999</v>
      </c>
      <c r="D35" s="251">
        <v>1.3</v>
      </c>
      <c r="E35" s="251"/>
      <c r="F35" s="95">
        <v>0.94986457999999996</v>
      </c>
      <c r="G35" s="251">
        <v>0.54</v>
      </c>
      <c r="H35" s="251"/>
      <c r="I35" s="95">
        <v>1.20594997</v>
      </c>
      <c r="J35" s="251">
        <v>1.4</v>
      </c>
      <c r="K35" s="251"/>
      <c r="L35" s="95">
        <v>1.14636307</v>
      </c>
      <c r="M35" s="251">
        <v>0.76</v>
      </c>
    </row>
    <row r="36" spans="1:13" ht="12.75" customHeight="1" x14ac:dyDescent="0.2">
      <c r="B36" s="110"/>
      <c r="C36" s="251" t="s">
        <v>961</v>
      </c>
      <c r="D36" s="251" t="s">
        <v>924</v>
      </c>
      <c r="E36" s="251"/>
      <c r="F36" s="251" t="s">
        <v>925</v>
      </c>
      <c r="G36" s="251" t="s">
        <v>182</v>
      </c>
      <c r="H36" s="251"/>
      <c r="I36" s="251" t="s">
        <v>926</v>
      </c>
      <c r="J36" s="251" t="s">
        <v>927</v>
      </c>
      <c r="K36" s="251"/>
      <c r="L36" s="251" t="s">
        <v>928</v>
      </c>
      <c r="M36" s="251" t="s">
        <v>929</v>
      </c>
    </row>
    <row r="37" spans="1:13" ht="3" customHeight="1" x14ac:dyDescent="0.2">
      <c r="B37" s="110"/>
      <c r="C37" s="251"/>
      <c r="D37" s="251"/>
      <c r="E37" s="251"/>
      <c r="F37" s="251"/>
      <c r="G37" s="251"/>
      <c r="H37" s="251"/>
      <c r="I37" s="251"/>
      <c r="J37" s="251"/>
      <c r="K37" s="251"/>
      <c r="L37" s="251"/>
      <c r="M37" s="251"/>
    </row>
    <row r="38" spans="1:13" ht="12.75" customHeight="1" x14ac:dyDescent="0.2">
      <c r="B38" s="110" t="s">
        <v>103</v>
      </c>
      <c r="C38" s="95">
        <v>0.83360051000000002</v>
      </c>
      <c r="D38" s="251">
        <v>0.91</v>
      </c>
      <c r="E38" s="251"/>
      <c r="F38" s="95">
        <v>0.69732731999999997</v>
      </c>
      <c r="G38" s="251">
        <v>0.82</v>
      </c>
      <c r="H38" s="251"/>
      <c r="I38" s="95">
        <v>0.78002397000000001</v>
      </c>
      <c r="J38" s="251">
        <v>0.87</v>
      </c>
      <c r="K38" s="251"/>
      <c r="L38" s="95">
        <v>0.76452343</v>
      </c>
      <c r="M38" s="251">
        <v>0.85</v>
      </c>
    </row>
    <row r="39" spans="1:13" ht="15" x14ac:dyDescent="0.2">
      <c r="B39" s="110"/>
      <c r="C39" s="251" t="s">
        <v>969</v>
      </c>
      <c r="D39" s="251" t="s">
        <v>930</v>
      </c>
      <c r="E39" s="251"/>
      <c r="F39" s="251" t="s">
        <v>970</v>
      </c>
      <c r="G39" s="251" t="s">
        <v>931</v>
      </c>
      <c r="H39" s="251"/>
      <c r="I39" s="251" t="s">
        <v>971</v>
      </c>
      <c r="J39" s="251" t="s">
        <v>932</v>
      </c>
      <c r="K39" s="251"/>
      <c r="L39" s="251" t="s">
        <v>972</v>
      </c>
      <c r="M39" s="251" t="s">
        <v>912</v>
      </c>
    </row>
    <row r="40" spans="1:13" ht="2.25" customHeight="1" x14ac:dyDescent="0.15">
      <c r="B40" s="110"/>
      <c r="C40" s="78"/>
      <c r="D40" s="78"/>
      <c r="E40" s="78"/>
      <c r="F40" s="78"/>
      <c r="G40" s="78"/>
      <c r="H40" s="78"/>
      <c r="I40" s="78"/>
      <c r="J40" s="78"/>
      <c r="K40" s="78"/>
      <c r="L40" s="78"/>
      <c r="M40" s="78"/>
    </row>
    <row r="41" spans="1:13" ht="57.75" customHeight="1" x14ac:dyDescent="0.15">
      <c r="A41" s="331" t="s">
        <v>188</v>
      </c>
      <c r="B41" s="331"/>
      <c r="C41" s="331"/>
      <c r="D41" s="331"/>
      <c r="E41" s="331"/>
      <c r="F41" s="331"/>
      <c r="G41" s="331"/>
      <c r="H41" s="331"/>
      <c r="I41" s="331"/>
      <c r="J41" s="331"/>
      <c r="K41" s="331"/>
      <c r="L41" s="331"/>
      <c r="M41" s="331"/>
    </row>
    <row r="42" spans="1:13" s="47" customFormat="1" x14ac:dyDescent="0.15">
      <c r="A42" s="332"/>
      <c r="B42" s="332"/>
      <c r="C42" s="62"/>
      <c r="D42" s="62"/>
      <c r="E42" s="62"/>
      <c r="F42" s="62"/>
      <c r="G42" s="62"/>
      <c r="H42" s="62"/>
      <c r="I42" s="62"/>
      <c r="J42" s="62"/>
      <c r="K42" s="62"/>
      <c r="L42" s="62"/>
      <c r="M42" s="62"/>
    </row>
  </sheetData>
  <mergeCells count="64">
    <mergeCell ref="A6:B6"/>
    <mergeCell ref="A1:M1"/>
    <mergeCell ref="A4:B4"/>
    <mergeCell ref="A5:B5"/>
    <mergeCell ref="C7:D7"/>
    <mergeCell ref="F7:G7"/>
    <mergeCell ref="I7:J7"/>
    <mergeCell ref="L7:M7"/>
    <mergeCell ref="C4:M4"/>
    <mergeCell ref="C5:M5"/>
    <mergeCell ref="C6:D6"/>
    <mergeCell ref="F6:G6"/>
    <mergeCell ref="I6:J6"/>
    <mergeCell ref="L6:M6"/>
    <mergeCell ref="C11:D11"/>
    <mergeCell ref="F11:G11"/>
    <mergeCell ref="I11:J11"/>
    <mergeCell ref="L11:M11"/>
    <mergeCell ref="C12:D12"/>
    <mergeCell ref="F12:G12"/>
    <mergeCell ref="I12:J12"/>
    <mergeCell ref="L12:M12"/>
    <mergeCell ref="C19:D19"/>
    <mergeCell ref="F19:G19"/>
    <mergeCell ref="I19:J19"/>
    <mergeCell ref="L19:M19"/>
    <mergeCell ref="C16:D16"/>
    <mergeCell ref="F16:G16"/>
    <mergeCell ref="I16:J16"/>
    <mergeCell ref="L16:M16"/>
    <mergeCell ref="C17:D17"/>
    <mergeCell ref="F17:G17"/>
    <mergeCell ref="I17:J17"/>
    <mergeCell ref="L17:M17"/>
    <mergeCell ref="C18:D18"/>
    <mergeCell ref="F18:G18"/>
    <mergeCell ref="I18:J18"/>
    <mergeCell ref="L18:M18"/>
    <mergeCell ref="A41:M41"/>
    <mergeCell ref="A42:B42"/>
    <mergeCell ref="C20:D20"/>
    <mergeCell ref="F20:G20"/>
    <mergeCell ref="I20:J20"/>
    <mergeCell ref="L20:M20"/>
    <mergeCell ref="C15:D15"/>
    <mergeCell ref="F15:G15"/>
    <mergeCell ref="I15:J15"/>
    <mergeCell ref="L15:M15"/>
    <mergeCell ref="C13:D13"/>
    <mergeCell ref="F13:G13"/>
    <mergeCell ref="I14:J14"/>
    <mergeCell ref="L14:M14"/>
    <mergeCell ref="I13:J13"/>
    <mergeCell ref="L13:M13"/>
    <mergeCell ref="C14:D14"/>
    <mergeCell ref="F14:G14"/>
    <mergeCell ref="C10:D10"/>
    <mergeCell ref="F10:G10"/>
    <mergeCell ref="I10:J10"/>
    <mergeCell ref="L10:M10"/>
    <mergeCell ref="C9:D9"/>
    <mergeCell ref="F9:G9"/>
    <mergeCell ref="I9:J9"/>
    <mergeCell ref="L9:M9"/>
  </mergeCells>
  <pageMargins left="0.7" right="0.7" top="0.75" bottom="0.75" header="0.3" footer="0.3"/>
  <pageSetup scale="9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G41"/>
  <sheetViews>
    <sheetView zoomScale="75" workbookViewId="0">
      <selection activeCell="E32" sqref="E32"/>
    </sheetView>
  </sheetViews>
  <sheetFormatPr baseColWidth="10" defaultColWidth="8.83203125" defaultRowHeight="15" x14ac:dyDescent="0.2"/>
  <cols>
    <col min="1" max="1" width="3.1640625" style="84" customWidth="1"/>
    <col min="2" max="2" width="20.83203125" style="84" customWidth="1"/>
    <col min="3" max="3" width="8.83203125" style="84"/>
    <col min="4" max="4" width="11.1640625" style="84" bestFit="1" customWidth="1"/>
    <col min="5" max="5" width="7.5" style="84" customWidth="1"/>
    <col min="6" max="6" width="9.1640625" style="84" bestFit="1" customWidth="1"/>
    <col min="7" max="7" width="8.83203125" style="84"/>
  </cols>
  <sheetData>
    <row r="1" spans="1:7" x14ac:dyDescent="0.2">
      <c r="A1" s="190" t="s">
        <v>804</v>
      </c>
      <c r="B1" s="190" t="s">
        <v>805</v>
      </c>
      <c r="C1" s="191" t="s">
        <v>808</v>
      </c>
      <c r="D1" s="191" t="s">
        <v>802</v>
      </c>
      <c r="E1" s="191" t="s">
        <v>809</v>
      </c>
      <c r="F1" s="191" t="s">
        <v>810</v>
      </c>
      <c r="G1" s="195"/>
    </row>
    <row r="2" spans="1:7" x14ac:dyDescent="0.2">
      <c r="A2"/>
      <c r="B2" t="s">
        <v>891</v>
      </c>
      <c r="C2" s="193">
        <f t="shared" ref="C2:C19" si="0">(ROWS($A$2:$A$19)-ROW()+ROW($A$2:$A$19)-0.5)/ROWS($A$2:$A$19)</f>
        <v>0.97222222222222221</v>
      </c>
      <c r="D2">
        <v>1520.6796875</v>
      </c>
      <c r="E2">
        <v>31.226964950561523</v>
      </c>
      <c r="F2" s="198">
        <f>1.96*E2</f>
        <v>61.204851303100583</v>
      </c>
      <c r="G2" s="195"/>
    </row>
    <row r="3" spans="1:7" x14ac:dyDescent="0.2">
      <c r="A3"/>
      <c r="B3" t="s">
        <v>6</v>
      </c>
      <c r="C3" s="193">
        <f t="shared" si="0"/>
        <v>0.91666666666666663</v>
      </c>
      <c r="D3">
        <v>1601.8990478515625</v>
      </c>
      <c r="E3">
        <v>29.76710319519043</v>
      </c>
      <c r="F3" s="198">
        <f t="shared" ref="F3:F19" si="1">1.96*E3</f>
        <v>58.343522262573238</v>
      </c>
      <c r="G3" s="195"/>
    </row>
    <row r="4" spans="1:7" x14ac:dyDescent="0.2">
      <c r="A4"/>
      <c r="B4" t="s">
        <v>900</v>
      </c>
      <c r="C4" s="193">
        <f t="shared" si="0"/>
        <v>0.86111111111111116</v>
      </c>
      <c r="D4">
        <v>1739.5361328125</v>
      </c>
      <c r="E4">
        <v>28.758922576904297</v>
      </c>
      <c r="F4" s="198">
        <f t="shared" si="1"/>
        <v>56.367488250732421</v>
      </c>
      <c r="G4" s="195"/>
    </row>
    <row r="5" spans="1:7" x14ac:dyDescent="0.2">
      <c r="A5"/>
      <c r="B5" t="s">
        <v>15</v>
      </c>
      <c r="C5" s="193">
        <f t="shared" si="0"/>
        <v>0.80555555555555558</v>
      </c>
      <c r="D5">
        <v>1761.2928466796875</v>
      </c>
      <c r="E5">
        <v>30.633089065551758</v>
      </c>
      <c r="F5" s="198">
        <f t="shared" si="1"/>
        <v>60.040854568481443</v>
      </c>
      <c r="G5" s="195"/>
    </row>
    <row r="6" spans="1:7" x14ac:dyDescent="0.2">
      <c r="A6"/>
      <c r="B6" t="s">
        <v>899</v>
      </c>
      <c r="C6" s="193">
        <f t="shared" si="0"/>
        <v>0.75</v>
      </c>
      <c r="D6">
        <v>1848.364990234375</v>
      </c>
      <c r="E6">
        <v>32.143291473388672</v>
      </c>
      <c r="F6" s="198">
        <f t="shared" si="1"/>
        <v>63.000851287841797</v>
      </c>
      <c r="G6" s="195"/>
    </row>
    <row r="7" spans="1:7" x14ac:dyDescent="0.2">
      <c r="A7"/>
      <c r="B7" t="s">
        <v>675</v>
      </c>
      <c r="C7" s="193">
        <f t="shared" si="0"/>
        <v>0.69444444444444442</v>
      </c>
      <c r="D7">
        <v>1883.193359375</v>
      </c>
      <c r="E7">
        <v>28.611719131469727</v>
      </c>
      <c r="F7" s="198">
        <f t="shared" si="1"/>
        <v>56.07896949768066</v>
      </c>
      <c r="G7" s="195"/>
    </row>
    <row r="8" spans="1:7" x14ac:dyDescent="0.2">
      <c r="A8"/>
      <c r="B8" t="s">
        <v>897</v>
      </c>
      <c r="C8" s="193">
        <f t="shared" si="0"/>
        <v>0.63888888888888884</v>
      </c>
      <c r="D8">
        <v>1895.5386962890625</v>
      </c>
      <c r="E8">
        <v>28.436603546142578</v>
      </c>
      <c r="F8" s="198">
        <f t="shared" si="1"/>
        <v>55.735742950439452</v>
      </c>
      <c r="G8" s="195"/>
    </row>
    <row r="9" spans="1:7" x14ac:dyDescent="0.2">
      <c r="A9"/>
      <c r="B9" t="s">
        <v>895</v>
      </c>
      <c r="C9" s="193">
        <f t="shared" si="0"/>
        <v>0.58333333333333337</v>
      </c>
      <c r="D9">
        <v>1906.99462890625</v>
      </c>
      <c r="E9">
        <v>26.85395622253418</v>
      </c>
      <c r="F9" s="198">
        <f t="shared" si="1"/>
        <v>52.63375419616699</v>
      </c>
      <c r="G9" s="195"/>
    </row>
    <row r="10" spans="1:7" x14ac:dyDescent="0.2">
      <c r="A10"/>
      <c r="B10" t="s">
        <v>896</v>
      </c>
      <c r="C10" s="193">
        <f t="shared" si="0"/>
        <v>0.52777777777777779</v>
      </c>
      <c r="D10">
        <v>1918.415283203125</v>
      </c>
      <c r="E10">
        <v>25.931156158447266</v>
      </c>
      <c r="F10" s="198">
        <f t="shared" si="1"/>
        <v>50.825066070556637</v>
      </c>
      <c r="G10" s="195"/>
    </row>
    <row r="11" spans="1:7" x14ac:dyDescent="0.2">
      <c r="A11"/>
      <c r="B11" t="s">
        <v>839</v>
      </c>
      <c r="C11" s="193">
        <f t="shared" si="0"/>
        <v>0.47222222222222221</v>
      </c>
      <c r="D11">
        <v>1970.365478515625</v>
      </c>
      <c r="E11">
        <v>28.675458908081055</v>
      </c>
      <c r="F11" s="198">
        <f t="shared" si="1"/>
        <v>56.203899459838865</v>
      </c>
      <c r="G11" s="195"/>
    </row>
    <row r="12" spans="1:7" x14ac:dyDescent="0.2">
      <c r="A12"/>
      <c r="B12" t="s">
        <v>898</v>
      </c>
      <c r="C12" s="193">
        <f t="shared" si="0"/>
        <v>0.41666666666666669</v>
      </c>
      <c r="D12">
        <v>1977.1444091796875</v>
      </c>
      <c r="E12">
        <v>24.733707427978516</v>
      </c>
      <c r="F12" s="198">
        <f t="shared" si="1"/>
        <v>48.478066558837888</v>
      </c>
      <c r="G12" s="195"/>
    </row>
    <row r="13" spans="1:7" x14ac:dyDescent="0.2">
      <c r="A13"/>
      <c r="B13" t="s">
        <v>838</v>
      </c>
      <c r="C13" s="193">
        <f t="shared" si="0"/>
        <v>0.3611111111111111</v>
      </c>
      <c r="D13">
        <v>2004.2059326171875</v>
      </c>
      <c r="E13">
        <v>27.383625030517578</v>
      </c>
      <c r="F13" s="198">
        <f t="shared" si="1"/>
        <v>53.671905059814449</v>
      </c>
      <c r="G13" s="195"/>
    </row>
    <row r="14" spans="1:7" x14ac:dyDescent="0.2">
      <c r="A14"/>
      <c r="B14" t="s">
        <v>892</v>
      </c>
      <c r="C14" s="193">
        <f t="shared" si="0"/>
        <v>0.30555555555555558</v>
      </c>
      <c r="D14">
        <v>2029.4444580078125</v>
      </c>
      <c r="E14">
        <v>27.469871520996094</v>
      </c>
      <c r="F14" s="198">
        <f t="shared" si="1"/>
        <v>53.840948181152342</v>
      </c>
      <c r="G14" s="195"/>
    </row>
    <row r="15" spans="1:7" x14ac:dyDescent="0.2">
      <c r="A15"/>
      <c r="B15" t="s">
        <v>894</v>
      </c>
      <c r="C15" s="193">
        <f t="shared" si="0"/>
        <v>0.25</v>
      </c>
      <c r="D15">
        <v>2131.857666015625</v>
      </c>
      <c r="E15">
        <v>26.416065216064453</v>
      </c>
      <c r="F15" s="198">
        <f t="shared" si="1"/>
        <v>51.77548782348633</v>
      </c>
      <c r="G15" s="195"/>
    </row>
    <row r="16" spans="1:7" x14ac:dyDescent="0.2">
      <c r="A16"/>
      <c r="B16" t="s">
        <v>842</v>
      </c>
      <c r="C16" s="193">
        <f t="shared" si="0"/>
        <v>0.19444444444444445</v>
      </c>
      <c r="D16">
        <v>2135.952392578125</v>
      </c>
      <c r="E16">
        <v>24.658140182495117</v>
      </c>
      <c r="F16" s="198">
        <f t="shared" si="1"/>
        <v>48.32995475769043</v>
      </c>
      <c r="G16" s="195"/>
    </row>
    <row r="17" spans="1:7" x14ac:dyDescent="0.2">
      <c r="A17"/>
      <c r="B17" t="s">
        <v>843</v>
      </c>
      <c r="C17" s="193">
        <f t="shared" si="0"/>
        <v>0.1388888888888889</v>
      </c>
      <c r="D17">
        <v>2154.7724609375</v>
      </c>
      <c r="E17">
        <v>23.086544036865234</v>
      </c>
      <c r="F17" s="198">
        <f t="shared" si="1"/>
        <v>45.249626312255856</v>
      </c>
      <c r="G17" s="195"/>
    </row>
    <row r="18" spans="1:7" x14ac:dyDescent="0.2">
      <c r="A18"/>
      <c r="B18" t="s">
        <v>893</v>
      </c>
      <c r="C18" s="193">
        <f t="shared" si="0"/>
        <v>8.3333333333333329E-2</v>
      </c>
      <c r="D18">
        <v>2174.618408203125</v>
      </c>
      <c r="E18">
        <v>24.284570693969727</v>
      </c>
      <c r="F18" s="198">
        <f t="shared" si="1"/>
        <v>47.597758560180665</v>
      </c>
      <c r="G18" s="195"/>
    </row>
    <row r="19" spans="1:7" x14ac:dyDescent="0.2">
      <c r="A19"/>
      <c r="B19" t="s">
        <v>844</v>
      </c>
      <c r="C19" s="193">
        <f t="shared" si="0"/>
        <v>2.7777777777777776E-2</v>
      </c>
      <c r="D19">
        <v>2187.857177734375</v>
      </c>
      <c r="E19">
        <v>22.98747444152832</v>
      </c>
      <c r="F19" s="198">
        <f t="shared" si="1"/>
        <v>45.055449905395506</v>
      </c>
      <c r="G19" s="195"/>
    </row>
    <row r="20" spans="1:7" x14ac:dyDescent="0.2">
      <c r="F20" s="195"/>
      <c r="G20" s="195"/>
    </row>
    <row r="21" spans="1:7" x14ac:dyDescent="0.2">
      <c r="A21" s="195"/>
      <c r="B21" s="195"/>
      <c r="C21" s="195"/>
      <c r="D21" s="195"/>
      <c r="E21" s="195"/>
      <c r="F21" s="195"/>
      <c r="G21" s="194"/>
    </row>
    <row r="22" spans="1:7" x14ac:dyDescent="0.2">
      <c r="B22" s="195"/>
      <c r="C22" s="195"/>
      <c r="D22" s="195"/>
      <c r="E22" s="195"/>
      <c r="F22" s="195"/>
      <c r="G22" s="194"/>
    </row>
    <row r="23" spans="1:7" x14ac:dyDescent="0.2">
      <c r="B23" s="195"/>
      <c r="C23" s="195"/>
      <c r="D23" s="195"/>
      <c r="E23" s="195"/>
      <c r="F23" s="195"/>
      <c r="G23" s="194"/>
    </row>
    <row r="24" spans="1:7" x14ac:dyDescent="0.2">
      <c r="B24" s="195"/>
      <c r="C24" s="195"/>
      <c r="D24" s="195"/>
      <c r="E24" s="195"/>
      <c r="F24" s="195"/>
      <c r="G24" s="194"/>
    </row>
    <row r="25" spans="1:7" x14ac:dyDescent="0.2">
      <c r="B25" s="195"/>
      <c r="C25" s="195"/>
      <c r="D25" s="195"/>
      <c r="E25" s="195"/>
      <c r="F25" s="195"/>
      <c r="G25" s="194"/>
    </row>
    <row r="26" spans="1:7" x14ac:dyDescent="0.2">
      <c r="B26" s="195"/>
      <c r="C26" s="195"/>
      <c r="D26" s="195"/>
      <c r="E26" s="195"/>
      <c r="F26" s="195"/>
      <c r="G26" s="194"/>
    </row>
    <row r="27" spans="1:7" x14ac:dyDescent="0.2">
      <c r="B27" s="195"/>
      <c r="C27" s="195"/>
      <c r="D27" s="195"/>
      <c r="E27" s="195"/>
      <c r="F27" s="195"/>
      <c r="G27" s="194"/>
    </row>
    <row r="28" spans="1:7" x14ac:dyDescent="0.2">
      <c r="B28" s="195"/>
      <c r="C28" s="195"/>
      <c r="D28" s="195"/>
      <c r="E28" s="195"/>
      <c r="F28" s="195"/>
      <c r="G28" s="194"/>
    </row>
    <row r="29" spans="1:7" x14ac:dyDescent="0.2">
      <c r="B29" s="195"/>
      <c r="C29" s="195"/>
      <c r="D29" s="195"/>
      <c r="E29" s="195"/>
      <c r="F29" s="195"/>
      <c r="G29" s="194"/>
    </row>
    <row r="30" spans="1:7" x14ac:dyDescent="0.2">
      <c r="B30" s="195"/>
      <c r="C30" s="195"/>
      <c r="D30" s="195"/>
      <c r="E30" s="195"/>
      <c r="F30" s="195"/>
      <c r="G30" s="194"/>
    </row>
    <row r="31" spans="1:7" x14ac:dyDescent="0.2">
      <c r="B31" s="195"/>
      <c r="C31" s="195"/>
      <c r="D31" s="195"/>
      <c r="E31" s="195"/>
      <c r="F31" s="195"/>
      <c r="G31" s="194"/>
    </row>
    <row r="32" spans="1:7" x14ac:dyDescent="0.2">
      <c r="B32" s="195"/>
      <c r="C32" s="195"/>
      <c r="D32" s="195"/>
      <c r="E32" s="195"/>
      <c r="F32" s="195"/>
      <c r="G32" s="194"/>
    </row>
    <row r="33" spans="2:7" x14ac:dyDescent="0.2">
      <c r="B33" s="195"/>
      <c r="C33" s="195"/>
      <c r="D33" s="195"/>
      <c r="E33" s="195"/>
      <c r="F33" s="195"/>
      <c r="G33" s="194"/>
    </row>
    <row r="34" spans="2:7" x14ac:dyDescent="0.2">
      <c r="B34" s="195"/>
      <c r="C34" s="195"/>
      <c r="D34" s="195"/>
      <c r="E34" s="195"/>
      <c r="F34" s="195"/>
      <c r="G34" s="194"/>
    </row>
    <row r="35" spans="2:7" x14ac:dyDescent="0.2">
      <c r="B35" s="195"/>
      <c r="C35" s="195"/>
      <c r="D35" s="195"/>
      <c r="E35" s="195"/>
      <c r="F35" s="195"/>
    </row>
    <row r="36" spans="2:7" x14ac:dyDescent="0.2">
      <c r="B36" s="195"/>
      <c r="C36" s="195"/>
      <c r="D36" s="195"/>
      <c r="E36" s="195"/>
      <c r="F36" s="195"/>
    </row>
    <row r="37" spans="2:7" x14ac:dyDescent="0.2">
      <c r="B37" s="195"/>
      <c r="C37" s="195"/>
      <c r="D37" s="195"/>
      <c r="E37" s="195"/>
      <c r="F37" s="195"/>
    </row>
    <row r="38" spans="2:7" x14ac:dyDescent="0.2">
      <c r="B38" s="195"/>
      <c r="C38" s="195"/>
      <c r="D38" s="195"/>
      <c r="E38" s="195"/>
      <c r="F38" s="195"/>
    </row>
    <row r="39" spans="2:7" x14ac:dyDescent="0.2">
      <c r="B39" s="195"/>
      <c r="C39" s="195"/>
      <c r="D39" s="195"/>
      <c r="E39" s="195"/>
      <c r="F39" s="195"/>
    </row>
    <row r="40" spans="2:7" x14ac:dyDescent="0.2">
      <c r="B40" s="195"/>
      <c r="C40" s="195"/>
      <c r="D40" s="195"/>
      <c r="E40" s="195"/>
      <c r="F40" s="195"/>
    </row>
    <row r="41" spans="2:7" x14ac:dyDescent="0.2">
      <c r="B41" s="195"/>
      <c r="C41" s="195"/>
      <c r="D41" s="195"/>
      <c r="E41" s="195"/>
      <c r="F41" s="195"/>
    </row>
  </sheetData>
  <phoneticPr fontId="37" type="noConversion"/>
  <pageMargins left="0.2" right="0.2" top="0.25" bottom="0.25" header="0.05" footer="0.05"/>
  <pageSetup scale="95" orientation="landscape" horizontalDpi="1200" verticalDpi="12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F40"/>
  <sheetViews>
    <sheetView workbookViewId="0"/>
  </sheetViews>
  <sheetFormatPr baseColWidth="10" defaultColWidth="8.83203125" defaultRowHeight="15" x14ac:dyDescent="0.2"/>
  <cols>
    <col min="1" max="1" width="3.1640625" style="84" customWidth="1"/>
    <col min="2" max="2" width="20.83203125" style="84" customWidth="1"/>
    <col min="3" max="3" width="8.83203125" style="84"/>
    <col min="4" max="4" width="10.6640625" style="84" bestFit="1" customWidth="1"/>
    <col min="5" max="5" width="12.33203125" style="84" bestFit="1" customWidth="1"/>
    <col min="6" max="6" width="8.83203125" style="84"/>
  </cols>
  <sheetData>
    <row r="1" spans="1:6" x14ac:dyDescent="0.2">
      <c r="A1" s="190" t="s">
        <v>804</v>
      </c>
      <c r="B1" s="190" t="s">
        <v>805</v>
      </c>
      <c r="C1" s="191" t="s">
        <v>808</v>
      </c>
      <c r="D1" s="191" t="s">
        <v>806</v>
      </c>
      <c r="E1" s="191" t="s">
        <v>807</v>
      </c>
      <c r="F1" s="192"/>
    </row>
    <row r="2" spans="1:6" x14ac:dyDescent="0.2">
      <c r="A2"/>
      <c r="B2" t="s">
        <v>891</v>
      </c>
      <c r="C2" s="193">
        <f t="shared" ref="C2:C19" si="0">(ROWS($A$2:$A$19)-ROW()+ROW($A$2:$A$19)-0.5)/ROWS($A$2:$A$19)</f>
        <v>0.97222222222222221</v>
      </c>
      <c r="D2" s="197">
        <v>1520.6796875</v>
      </c>
      <c r="E2" s="197"/>
      <c r="F2" s="194"/>
    </row>
    <row r="3" spans="1:6" x14ac:dyDescent="0.2">
      <c r="A3"/>
      <c r="B3" t="s">
        <v>6</v>
      </c>
      <c r="C3" s="193">
        <f t="shared" si="0"/>
        <v>0.91666666666666663</v>
      </c>
      <c r="D3" s="197">
        <v>1601.8990478515625</v>
      </c>
      <c r="E3" s="197">
        <v>1709.462</v>
      </c>
      <c r="F3" s="194"/>
    </row>
    <row r="4" spans="1:6" x14ac:dyDescent="0.2">
      <c r="A4"/>
      <c r="B4" t="s">
        <v>900</v>
      </c>
      <c r="C4" s="193">
        <f t="shared" si="0"/>
        <v>0.86111111111111116</v>
      </c>
      <c r="D4" s="197">
        <v>1739.5361328125</v>
      </c>
      <c r="E4" s="197">
        <v>1756.942</v>
      </c>
      <c r="F4" s="194"/>
    </row>
    <row r="5" spans="1:6" x14ac:dyDescent="0.2">
      <c r="A5"/>
      <c r="B5" t="s">
        <v>15</v>
      </c>
      <c r="C5" s="193">
        <f t="shared" si="0"/>
        <v>0.80555555555555558</v>
      </c>
      <c r="D5" s="197">
        <v>1761.2928466796875</v>
      </c>
      <c r="E5" s="197">
        <v>1849.885</v>
      </c>
      <c r="F5" s="194"/>
    </row>
    <row r="6" spans="1:6" x14ac:dyDescent="0.2">
      <c r="A6"/>
      <c r="B6" t="s">
        <v>899</v>
      </c>
      <c r="C6" s="193">
        <f t="shared" si="0"/>
        <v>0.75</v>
      </c>
      <c r="D6" s="197">
        <v>1848.364990234375</v>
      </c>
      <c r="E6" s="197">
        <v>1877.346</v>
      </c>
      <c r="F6" s="194"/>
    </row>
    <row r="7" spans="1:6" x14ac:dyDescent="0.2">
      <c r="A7"/>
      <c r="B7" t="s">
        <v>675</v>
      </c>
      <c r="C7" s="193">
        <f t="shared" si="0"/>
        <v>0.69444444444444442</v>
      </c>
      <c r="D7" s="197">
        <v>1883.193359375</v>
      </c>
      <c r="E7" s="197">
        <v>1657.433</v>
      </c>
      <c r="F7" s="194"/>
    </row>
    <row r="8" spans="1:6" x14ac:dyDescent="0.2">
      <c r="A8"/>
      <c r="B8" t="s">
        <v>897</v>
      </c>
      <c r="C8" s="193">
        <f t="shared" si="0"/>
        <v>0.63888888888888884</v>
      </c>
      <c r="D8" s="197">
        <v>1895.5386962890625</v>
      </c>
      <c r="E8" s="197">
        <v>1966.692</v>
      </c>
      <c r="F8" s="194"/>
    </row>
    <row r="9" spans="1:6" x14ac:dyDescent="0.2">
      <c r="A9"/>
      <c r="B9" t="s">
        <v>895</v>
      </c>
      <c r="C9" s="193">
        <f t="shared" si="0"/>
        <v>0.58333333333333337</v>
      </c>
      <c r="D9" s="197">
        <v>1906.99462890625</v>
      </c>
      <c r="E9" s="197">
        <v>1893.6010000000001</v>
      </c>
      <c r="F9" s="194"/>
    </row>
    <row r="10" spans="1:6" x14ac:dyDescent="0.2">
      <c r="A10"/>
      <c r="B10" t="s">
        <v>896</v>
      </c>
      <c r="C10" s="193">
        <f t="shared" si="0"/>
        <v>0.52777777777777779</v>
      </c>
      <c r="D10" s="197">
        <v>1918.415283203125</v>
      </c>
      <c r="E10" s="197">
        <v>1996.587</v>
      </c>
      <c r="F10" s="194"/>
    </row>
    <row r="11" spans="1:6" x14ac:dyDescent="0.2">
      <c r="A11"/>
      <c r="B11" t="s">
        <v>839</v>
      </c>
      <c r="C11" s="193">
        <f t="shared" si="0"/>
        <v>0.47222222222222221</v>
      </c>
      <c r="D11" s="197">
        <v>1970.365478515625</v>
      </c>
      <c r="E11" s="197">
        <v>1895.192</v>
      </c>
      <c r="F11" s="194"/>
    </row>
    <row r="12" spans="1:6" x14ac:dyDescent="0.2">
      <c r="A12"/>
      <c r="B12" t="s">
        <v>898</v>
      </c>
      <c r="C12" s="193">
        <f t="shared" si="0"/>
        <v>0.41666666666666669</v>
      </c>
      <c r="D12" s="197">
        <v>1977.1444091796875</v>
      </c>
      <c r="E12" s="197">
        <v>1941.385</v>
      </c>
      <c r="F12" s="194"/>
    </row>
    <row r="13" spans="1:6" x14ac:dyDescent="0.2">
      <c r="A13"/>
      <c r="B13" t="s">
        <v>838</v>
      </c>
      <c r="C13" s="193">
        <f t="shared" si="0"/>
        <v>0.3611111111111111</v>
      </c>
      <c r="D13" s="197">
        <v>2004.2059326171875</v>
      </c>
      <c r="E13" s="197">
        <v>1932.6679999999999</v>
      </c>
      <c r="F13" s="194"/>
    </row>
    <row r="14" spans="1:6" x14ac:dyDescent="0.2">
      <c r="A14"/>
      <c r="B14" t="s">
        <v>892</v>
      </c>
      <c r="C14" s="193">
        <f t="shared" si="0"/>
        <v>0.30555555555555558</v>
      </c>
      <c r="D14" s="197">
        <v>2029.4444580078125</v>
      </c>
      <c r="E14" s="197"/>
      <c r="F14" s="194"/>
    </row>
    <row r="15" spans="1:6" x14ac:dyDescent="0.2">
      <c r="A15"/>
      <c r="B15" t="s">
        <v>894</v>
      </c>
      <c r="C15" s="193">
        <f t="shared" si="0"/>
        <v>0.25</v>
      </c>
      <c r="D15" s="197">
        <v>2131.857666015625</v>
      </c>
      <c r="E15" s="197">
        <v>2056.5100000000002</v>
      </c>
      <c r="F15" s="194"/>
    </row>
    <row r="16" spans="1:6" x14ac:dyDescent="0.2">
      <c r="A16"/>
      <c r="B16" t="s">
        <v>842</v>
      </c>
      <c r="C16" s="193">
        <f t="shared" si="0"/>
        <v>0.19444444444444445</v>
      </c>
      <c r="D16" s="197">
        <v>2135.952392578125</v>
      </c>
      <c r="E16" s="197">
        <v>1955.288</v>
      </c>
      <c r="F16" s="194"/>
    </row>
    <row r="17" spans="1:6" x14ac:dyDescent="0.2">
      <c r="A17"/>
      <c r="B17" t="s">
        <v>843</v>
      </c>
      <c r="C17" s="193">
        <f t="shared" si="0"/>
        <v>0.1388888888888889</v>
      </c>
      <c r="D17" s="197">
        <v>2154.7724609375</v>
      </c>
      <c r="E17" s="197">
        <v>2002.471</v>
      </c>
      <c r="F17" s="194"/>
    </row>
    <row r="18" spans="1:6" x14ac:dyDescent="0.2">
      <c r="A18"/>
      <c r="B18" t="s">
        <v>893</v>
      </c>
      <c r="C18" s="193">
        <f t="shared" si="0"/>
        <v>8.3333333333333329E-2</v>
      </c>
      <c r="D18" s="197">
        <v>2174.618408203125</v>
      </c>
      <c r="E18" s="197"/>
      <c r="F18" s="194"/>
    </row>
    <row r="19" spans="1:6" x14ac:dyDescent="0.2">
      <c r="A19"/>
      <c r="B19" t="s">
        <v>844</v>
      </c>
      <c r="C19" s="193">
        <f t="shared" si="0"/>
        <v>2.7777777777777776E-2</v>
      </c>
      <c r="D19" s="197">
        <v>2187.857177734375</v>
      </c>
      <c r="E19" s="197">
        <v>2007.212</v>
      </c>
      <c r="F19" s="194"/>
    </row>
    <row r="20" spans="1:6" x14ac:dyDescent="0.2">
      <c r="F20" s="194"/>
    </row>
    <row r="21" spans="1:6" x14ac:dyDescent="0.2">
      <c r="A21" s="195"/>
      <c r="B21" s="195"/>
      <c r="C21" s="195"/>
      <c r="F21" s="194"/>
    </row>
    <row r="22" spans="1:6" x14ac:dyDescent="0.2">
      <c r="F22" s="194"/>
    </row>
    <row r="23" spans="1:6" x14ac:dyDescent="0.2">
      <c r="B23"/>
      <c r="F23" s="194"/>
    </row>
    <row r="24" spans="1:6" x14ac:dyDescent="0.2">
      <c r="B24"/>
      <c r="F24" s="194"/>
    </row>
    <row r="25" spans="1:6" x14ac:dyDescent="0.2">
      <c r="B25"/>
      <c r="F25" s="194"/>
    </row>
    <row r="26" spans="1:6" x14ac:dyDescent="0.2">
      <c r="B26"/>
      <c r="F26" s="194"/>
    </row>
    <row r="27" spans="1:6" x14ac:dyDescent="0.2">
      <c r="B27"/>
      <c r="F27" s="194"/>
    </row>
    <row r="28" spans="1:6" x14ac:dyDescent="0.2">
      <c r="B28"/>
      <c r="F28" s="194"/>
    </row>
    <row r="29" spans="1:6" x14ac:dyDescent="0.2">
      <c r="B29"/>
      <c r="F29" s="194"/>
    </row>
    <row r="30" spans="1:6" x14ac:dyDescent="0.2">
      <c r="B30"/>
      <c r="F30" s="194"/>
    </row>
    <row r="31" spans="1:6" x14ac:dyDescent="0.2">
      <c r="B31"/>
      <c r="F31" s="194"/>
    </row>
    <row r="32" spans="1:6" x14ac:dyDescent="0.2">
      <c r="B32"/>
      <c r="F32" s="194"/>
    </row>
    <row r="33" spans="2:6" x14ac:dyDescent="0.2">
      <c r="B33"/>
      <c r="F33" s="194"/>
    </row>
    <row r="34" spans="2:6" x14ac:dyDescent="0.2">
      <c r="B34"/>
      <c r="F34" s="194"/>
    </row>
    <row r="35" spans="2:6" x14ac:dyDescent="0.2">
      <c r="B35"/>
    </row>
    <row r="36" spans="2:6" x14ac:dyDescent="0.2">
      <c r="B36"/>
    </row>
    <row r="37" spans="2:6" x14ac:dyDescent="0.2">
      <c r="B37"/>
    </row>
    <row r="38" spans="2:6" x14ac:dyDescent="0.2">
      <c r="B38"/>
    </row>
    <row r="39" spans="2:6" x14ac:dyDescent="0.2">
      <c r="B39"/>
    </row>
    <row r="40" spans="2:6" ht="5" customHeight="1" x14ac:dyDescent="0.2"/>
  </sheetData>
  <phoneticPr fontId="37" type="noConversion"/>
  <pageMargins left="0.2" right="0.2" top="0.25" bottom="0.25" header="0.05" footer="0.05"/>
  <pageSetup scale="95"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1:AD215"/>
  <sheetViews>
    <sheetView workbookViewId="0">
      <selection activeCell="C4" sqref="C4"/>
    </sheetView>
  </sheetViews>
  <sheetFormatPr baseColWidth="10" defaultColWidth="9.1640625" defaultRowHeight="15" x14ac:dyDescent="0.2"/>
  <cols>
    <col min="1" max="2" width="9.1640625" style="216"/>
    <col min="3" max="3" width="17.1640625" style="216" bestFit="1" customWidth="1"/>
    <col min="4" max="7" width="12.1640625" style="216" bestFit="1" customWidth="1"/>
    <col min="8" max="8" width="9.1640625" style="216"/>
    <col min="9" max="12" width="12.1640625" style="216" bestFit="1" customWidth="1"/>
    <col min="13" max="13" width="9.1640625" style="216"/>
    <col min="14" max="16" width="12.1640625" style="216" bestFit="1" customWidth="1"/>
    <col min="17" max="17" width="9.1640625" style="216"/>
    <col min="18" max="19" width="12.1640625" style="216" bestFit="1" customWidth="1"/>
    <col min="20" max="20" width="12" style="216" bestFit="1" customWidth="1"/>
    <col min="21" max="21" width="12.1640625" style="216" bestFit="1" customWidth="1"/>
    <col min="22" max="22" width="9.1640625" style="216"/>
    <col min="23" max="23" width="18.6640625" style="216" bestFit="1" customWidth="1"/>
    <col min="24" max="24" width="16.1640625" style="216" bestFit="1" customWidth="1"/>
    <col min="25" max="25" width="16.83203125" style="216" bestFit="1" customWidth="1"/>
    <col min="26" max="16384" width="9.1640625" style="216"/>
  </cols>
  <sheetData>
    <row r="1" spans="2:30" x14ac:dyDescent="0.2">
      <c r="D1" t="s">
        <v>853</v>
      </c>
      <c r="E1" t="s">
        <v>854</v>
      </c>
      <c r="F1" t="s">
        <v>855</v>
      </c>
      <c r="G1" t="s">
        <v>856</v>
      </c>
      <c r="I1" t="s">
        <v>857</v>
      </c>
      <c r="J1" t="s">
        <v>858</v>
      </c>
      <c r="K1" t="s">
        <v>859</v>
      </c>
      <c r="L1" t="s">
        <v>860</v>
      </c>
      <c r="N1" t="s">
        <v>861</v>
      </c>
      <c r="O1" t="s">
        <v>862</v>
      </c>
      <c r="P1" t="s">
        <v>863</v>
      </c>
      <c r="R1" t="s">
        <v>864</v>
      </c>
      <c r="S1" t="s">
        <v>865</v>
      </c>
      <c r="T1" t="s">
        <v>866</v>
      </c>
      <c r="U1" t="s">
        <v>867</v>
      </c>
      <c r="W1" t="s">
        <v>873</v>
      </c>
      <c r="X1" t="s">
        <v>874</v>
      </c>
      <c r="Y1" t="s">
        <v>875</v>
      </c>
    </row>
    <row r="2" spans="2:30" x14ac:dyDescent="0.2">
      <c r="D2" s="365" t="s">
        <v>830</v>
      </c>
      <c r="E2" s="365"/>
      <c r="F2" s="365"/>
      <c r="G2" s="365"/>
      <c r="H2" s="217"/>
      <c r="I2" s="365" t="s">
        <v>831</v>
      </c>
      <c r="J2" s="365"/>
      <c r="K2" s="365"/>
      <c r="L2" s="365"/>
      <c r="M2" s="217"/>
      <c r="N2" s="365" t="s">
        <v>832</v>
      </c>
      <c r="O2" s="365"/>
      <c r="P2" s="365"/>
      <c r="Q2" s="217"/>
      <c r="R2" s="365" t="s">
        <v>833</v>
      </c>
      <c r="S2" s="365"/>
      <c r="T2" s="365"/>
      <c r="U2" s="365"/>
      <c r="AA2" s="365" t="s">
        <v>868</v>
      </c>
      <c r="AB2" s="365"/>
      <c r="AC2" s="365"/>
      <c r="AD2" s="365"/>
    </row>
    <row r="3" spans="2:30" s="218" customFormat="1" x14ac:dyDescent="0.2">
      <c r="C3" s="217" t="s">
        <v>834</v>
      </c>
      <c r="D3" s="217" t="s">
        <v>835</v>
      </c>
      <c r="E3" s="217" t="s">
        <v>675</v>
      </c>
      <c r="F3" s="217" t="s">
        <v>836</v>
      </c>
      <c r="G3" s="217" t="s">
        <v>837</v>
      </c>
      <c r="H3" s="217"/>
      <c r="I3" s="217" t="s">
        <v>838</v>
      </c>
      <c r="J3" s="217" t="s">
        <v>839</v>
      </c>
      <c r="K3" s="217" t="s">
        <v>840</v>
      </c>
      <c r="L3" s="217" t="s">
        <v>841</v>
      </c>
      <c r="M3" s="217"/>
      <c r="N3" s="217" t="s">
        <v>842</v>
      </c>
      <c r="O3" s="217" t="s">
        <v>843</v>
      </c>
      <c r="P3" s="217" t="s">
        <v>844</v>
      </c>
      <c r="Q3" s="217"/>
      <c r="R3" s="217" t="s">
        <v>845</v>
      </c>
      <c r="S3" s="217" t="s">
        <v>15</v>
      </c>
      <c r="T3" s="217" t="s">
        <v>846</v>
      </c>
      <c r="U3" s="217" t="s">
        <v>847</v>
      </c>
      <c r="W3" s="218" t="s">
        <v>848</v>
      </c>
      <c r="X3" s="218" t="s">
        <v>849</v>
      </c>
      <c r="Y3" s="218" t="s">
        <v>850</v>
      </c>
      <c r="AA3" s="218" t="s">
        <v>870</v>
      </c>
      <c r="AB3" s="218" t="s">
        <v>871</v>
      </c>
      <c r="AC3" s="218" t="s">
        <v>872</v>
      </c>
      <c r="AD3" s="218" t="s">
        <v>869</v>
      </c>
    </row>
    <row r="4" spans="2:30" x14ac:dyDescent="0.2">
      <c r="B4" s="216">
        <v>1</v>
      </c>
      <c r="C4" s="216">
        <f>B4/$B$211</f>
        <v>4.807692307692308E-3</v>
      </c>
      <c r="D4">
        <v>1343</v>
      </c>
      <c r="E4">
        <v>1000</v>
      </c>
      <c r="F4">
        <v>1000</v>
      </c>
      <c r="G4">
        <v>1311</v>
      </c>
      <c r="H4"/>
      <c r="I4">
        <v>1311</v>
      </c>
      <c r="J4">
        <v>1107</v>
      </c>
      <c r="K4">
        <v>1100</v>
      </c>
      <c r="L4">
        <v>1177</v>
      </c>
      <c r="M4"/>
      <c r="N4">
        <v>1383</v>
      </c>
      <c r="O4">
        <v>1273</v>
      </c>
      <c r="P4">
        <v>1608</v>
      </c>
      <c r="Q4"/>
      <c r="R4">
        <v>1124</v>
      </c>
      <c r="S4">
        <v>1200</v>
      </c>
      <c r="T4">
        <v>1267</v>
      </c>
      <c r="U4">
        <v>1174</v>
      </c>
      <c r="W4">
        <v>1521</v>
      </c>
      <c r="X4">
        <v>2029</v>
      </c>
      <c r="Y4">
        <v>2175</v>
      </c>
      <c r="AA4" s="219">
        <v>0.2</v>
      </c>
      <c r="AB4" s="219">
        <v>0.5</v>
      </c>
      <c r="AC4" s="219">
        <v>0.8</v>
      </c>
      <c r="AD4" s="216">
        <v>1000</v>
      </c>
    </row>
    <row r="5" spans="2:30" x14ac:dyDescent="0.2">
      <c r="B5" s="216">
        <f>B4+1</f>
        <v>2</v>
      </c>
      <c r="C5" s="216">
        <f>B5/$B$211</f>
        <v>9.6153846153846159E-3</v>
      </c>
      <c r="D5">
        <v>1465</v>
      </c>
      <c r="E5">
        <v>1050</v>
      </c>
      <c r="F5">
        <v>1274</v>
      </c>
      <c r="G5">
        <v>1361</v>
      </c>
      <c r="H5"/>
      <c r="I5">
        <v>1438</v>
      </c>
      <c r="J5">
        <v>1304</v>
      </c>
      <c r="K5">
        <v>1129</v>
      </c>
      <c r="L5">
        <v>1435</v>
      </c>
      <c r="M5"/>
      <c r="N5">
        <v>1468</v>
      </c>
      <c r="O5">
        <v>1536</v>
      </c>
      <c r="P5">
        <v>1613</v>
      </c>
      <c r="Q5"/>
      <c r="R5">
        <v>1301</v>
      </c>
      <c r="S5">
        <v>1297</v>
      </c>
      <c r="T5">
        <v>1287</v>
      </c>
      <c r="U5">
        <v>1243</v>
      </c>
      <c r="W5">
        <v>1521</v>
      </c>
      <c r="X5">
        <v>2029</v>
      </c>
      <c r="Y5">
        <v>2175</v>
      </c>
      <c r="AA5" s="219">
        <v>0.2</v>
      </c>
      <c r="AB5" s="219">
        <v>0.5</v>
      </c>
      <c r="AC5" s="219">
        <v>0.8</v>
      </c>
      <c r="AD5" s="220">
        <v>1007.2</v>
      </c>
    </row>
    <row r="6" spans="2:30" x14ac:dyDescent="0.2">
      <c r="B6" s="216">
        <f t="shared" ref="B6:B69" si="0">B5+1</f>
        <v>3</v>
      </c>
      <c r="C6" s="216">
        <f>B6/$B$211</f>
        <v>1.4423076923076924E-2</v>
      </c>
      <c r="D6">
        <v>1510</v>
      </c>
      <c r="E6">
        <v>1057</v>
      </c>
      <c r="F6">
        <v>1327</v>
      </c>
      <c r="G6">
        <v>1503</v>
      </c>
      <c r="H6"/>
      <c r="I6">
        <v>1441</v>
      </c>
      <c r="J6">
        <v>1394</v>
      </c>
      <c r="K6">
        <v>1308</v>
      </c>
      <c r="L6">
        <v>1448</v>
      </c>
      <c r="M6"/>
      <c r="N6">
        <v>1522</v>
      </c>
      <c r="O6">
        <v>1561</v>
      </c>
      <c r="P6">
        <v>1620</v>
      </c>
      <c r="Q6"/>
      <c r="R6">
        <v>1374</v>
      </c>
      <c r="S6">
        <v>1370</v>
      </c>
      <c r="T6">
        <v>1398</v>
      </c>
      <c r="U6">
        <v>1291</v>
      </c>
      <c r="W6">
        <v>1521</v>
      </c>
      <c r="X6">
        <v>2029</v>
      </c>
      <c r="Y6">
        <v>2175</v>
      </c>
      <c r="AA6" s="219">
        <v>0.2</v>
      </c>
      <c r="AB6" s="219">
        <v>0.5</v>
      </c>
      <c r="AC6" s="219">
        <v>0.8</v>
      </c>
      <c r="AD6" s="220">
        <v>1014.4</v>
      </c>
    </row>
    <row r="7" spans="2:30" x14ac:dyDescent="0.2">
      <c r="B7" s="216">
        <f t="shared" si="0"/>
        <v>4</v>
      </c>
      <c r="C7" s="216">
        <f t="shared" ref="C7:C70" si="1">B7/$B$211</f>
        <v>1.9230769230769232E-2</v>
      </c>
      <c r="D7">
        <v>1578</v>
      </c>
      <c r="E7">
        <v>1120</v>
      </c>
      <c r="F7">
        <v>1470</v>
      </c>
      <c r="G7">
        <v>1533</v>
      </c>
      <c r="H7"/>
      <c r="I7">
        <v>1481</v>
      </c>
      <c r="J7">
        <v>1431</v>
      </c>
      <c r="K7">
        <v>1427</v>
      </c>
      <c r="L7">
        <v>1490</v>
      </c>
      <c r="M7"/>
      <c r="N7">
        <v>1538</v>
      </c>
      <c r="O7">
        <v>1600</v>
      </c>
      <c r="P7">
        <v>1623</v>
      </c>
      <c r="Q7"/>
      <c r="R7">
        <v>1445</v>
      </c>
      <c r="S7">
        <v>1425</v>
      </c>
      <c r="T7">
        <v>1420</v>
      </c>
      <c r="U7">
        <v>1300</v>
      </c>
      <c r="W7">
        <v>1521</v>
      </c>
      <c r="X7">
        <v>2029</v>
      </c>
      <c r="Y7">
        <v>2175</v>
      </c>
      <c r="AA7" s="219">
        <v>0.2</v>
      </c>
      <c r="AB7" s="219">
        <v>0.5</v>
      </c>
      <c r="AC7" s="219">
        <v>0.8</v>
      </c>
      <c r="AD7" s="216">
        <v>1021.6</v>
      </c>
    </row>
    <row r="8" spans="2:30" x14ac:dyDescent="0.2">
      <c r="B8" s="216">
        <f t="shared" si="0"/>
        <v>5</v>
      </c>
      <c r="C8" s="216">
        <f t="shared" si="1"/>
        <v>2.403846153846154E-2</v>
      </c>
      <c r="D8">
        <v>1681</v>
      </c>
      <c r="E8">
        <v>1140</v>
      </c>
      <c r="F8">
        <v>1494</v>
      </c>
      <c r="G8">
        <v>1537</v>
      </c>
      <c r="H8"/>
      <c r="I8">
        <v>1500</v>
      </c>
      <c r="J8">
        <v>1458</v>
      </c>
      <c r="K8">
        <v>1427</v>
      </c>
      <c r="L8">
        <v>1511</v>
      </c>
      <c r="M8"/>
      <c r="N8">
        <v>1591</v>
      </c>
      <c r="O8">
        <v>1608</v>
      </c>
      <c r="P8">
        <v>1640</v>
      </c>
      <c r="Q8"/>
      <c r="R8">
        <v>1498</v>
      </c>
      <c r="S8">
        <v>1459</v>
      </c>
      <c r="T8">
        <v>1425</v>
      </c>
      <c r="U8">
        <v>1365</v>
      </c>
      <c r="W8">
        <v>1521</v>
      </c>
      <c r="X8">
        <v>2029</v>
      </c>
      <c r="Y8">
        <v>2175</v>
      </c>
      <c r="AA8" s="219">
        <v>0.2</v>
      </c>
      <c r="AB8" s="219">
        <v>0.5</v>
      </c>
      <c r="AC8" s="219">
        <v>0.8</v>
      </c>
      <c r="AD8" s="220">
        <v>1028.8</v>
      </c>
    </row>
    <row r="9" spans="2:30" x14ac:dyDescent="0.2">
      <c r="B9" s="216">
        <f t="shared" si="0"/>
        <v>6</v>
      </c>
      <c r="C9" s="216">
        <f t="shared" si="1"/>
        <v>2.8846153846153848E-2</v>
      </c>
      <c r="D9">
        <v>1706</v>
      </c>
      <c r="E9">
        <v>1191</v>
      </c>
      <c r="F9">
        <v>1500</v>
      </c>
      <c r="G9">
        <v>1588</v>
      </c>
      <c r="H9"/>
      <c r="I9">
        <v>1504</v>
      </c>
      <c r="J9">
        <v>1500</v>
      </c>
      <c r="K9">
        <v>1434</v>
      </c>
      <c r="L9">
        <v>1533</v>
      </c>
      <c r="M9"/>
      <c r="N9">
        <v>1597</v>
      </c>
      <c r="O9">
        <v>1673</v>
      </c>
      <c r="P9">
        <v>1701</v>
      </c>
      <c r="Q9"/>
      <c r="R9">
        <v>1504</v>
      </c>
      <c r="S9">
        <v>1504</v>
      </c>
      <c r="T9">
        <v>1428</v>
      </c>
      <c r="U9">
        <v>1365</v>
      </c>
      <c r="W9">
        <v>1521</v>
      </c>
      <c r="X9">
        <v>2029</v>
      </c>
      <c r="Y9">
        <v>2175</v>
      </c>
      <c r="AA9" s="219">
        <v>0.2</v>
      </c>
      <c r="AB9" s="219">
        <v>0.5</v>
      </c>
      <c r="AC9" s="219">
        <v>0.8</v>
      </c>
      <c r="AD9" s="220">
        <v>1036</v>
      </c>
    </row>
    <row r="10" spans="2:30" x14ac:dyDescent="0.2">
      <c r="B10" s="216">
        <f t="shared" si="0"/>
        <v>7</v>
      </c>
      <c r="C10" s="216">
        <f t="shared" si="1"/>
        <v>3.3653846153846152E-2</v>
      </c>
      <c r="D10">
        <v>1708</v>
      </c>
      <c r="E10">
        <v>1191</v>
      </c>
      <c r="F10">
        <v>1508</v>
      </c>
      <c r="G10">
        <v>1617</v>
      </c>
      <c r="H10"/>
      <c r="I10">
        <v>1522</v>
      </c>
      <c r="J10">
        <v>1506</v>
      </c>
      <c r="K10">
        <v>1461</v>
      </c>
      <c r="L10">
        <v>1548</v>
      </c>
      <c r="M10"/>
      <c r="N10">
        <v>1600</v>
      </c>
      <c r="O10">
        <v>1678</v>
      </c>
      <c r="P10">
        <v>1703</v>
      </c>
      <c r="Q10"/>
      <c r="R10">
        <v>1508</v>
      </c>
      <c r="S10">
        <v>1511</v>
      </c>
      <c r="T10">
        <v>1438</v>
      </c>
      <c r="U10">
        <v>1398</v>
      </c>
      <c r="W10">
        <v>1521</v>
      </c>
      <c r="X10">
        <v>2029</v>
      </c>
      <c r="Y10">
        <v>2175</v>
      </c>
      <c r="AA10" s="219">
        <v>0.2</v>
      </c>
      <c r="AB10" s="219">
        <v>0.5</v>
      </c>
      <c r="AC10" s="219">
        <v>0.8</v>
      </c>
      <c r="AD10" s="216">
        <v>1043.2</v>
      </c>
    </row>
    <row r="11" spans="2:30" x14ac:dyDescent="0.2">
      <c r="B11" s="216">
        <f t="shared" si="0"/>
        <v>8</v>
      </c>
      <c r="C11" s="216">
        <f t="shared" si="1"/>
        <v>3.8461538461538464E-2</v>
      </c>
      <c r="D11">
        <v>1742</v>
      </c>
      <c r="E11">
        <v>1197</v>
      </c>
      <c r="F11">
        <v>1520</v>
      </c>
      <c r="G11">
        <v>1623</v>
      </c>
      <c r="H11"/>
      <c r="I11">
        <v>1532</v>
      </c>
      <c r="J11">
        <v>1508</v>
      </c>
      <c r="K11">
        <v>1500</v>
      </c>
      <c r="L11">
        <v>1550</v>
      </c>
      <c r="M11"/>
      <c r="N11">
        <v>1621</v>
      </c>
      <c r="O11">
        <v>1710</v>
      </c>
      <c r="P11">
        <v>1732</v>
      </c>
      <c r="Q11"/>
      <c r="R11">
        <v>1518</v>
      </c>
      <c r="S11">
        <v>1518</v>
      </c>
      <c r="T11">
        <v>1448</v>
      </c>
      <c r="U11">
        <v>1401</v>
      </c>
      <c r="W11">
        <v>1521</v>
      </c>
      <c r="X11">
        <v>2029</v>
      </c>
      <c r="Y11">
        <v>2175</v>
      </c>
      <c r="AA11" s="219">
        <v>0.2</v>
      </c>
      <c r="AB11" s="219">
        <v>0.5</v>
      </c>
      <c r="AC11" s="219">
        <v>0.8</v>
      </c>
      <c r="AD11" s="220">
        <v>1050.4000000000001</v>
      </c>
    </row>
    <row r="12" spans="2:30" x14ac:dyDescent="0.2">
      <c r="B12" s="216">
        <f t="shared" si="0"/>
        <v>9</v>
      </c>
      <c r="C12" s="216">
        <f t="shared" si="1"/>
        <v>4.3269230769230768E-2</v>
      </c>
      <c r="D12">
        <v>1798</v>
      </c>
      <c r="E12">
        <v>1201</v>
      </c>
      <c r="F12">
        <v>1524</v>
      </c>
      <c r="G12">
        <v>1640</v>
      </c>
      <c r="H12"/>
      <c r="I12">
        <v>1543</v>
      </c>
      <c r="J12">
        <v>1510</v>
      </c>
      <c r="K12">
        <v>1507</v>
      </c>
      <c r="L12">
        <v>1567</v>
      </c>
      <c r="M12"/>
      <c r="N12">
        <v>1638</v>
      </c>
      <c r="O12">
        <v>1710</v>
      </c>
      <c r="P12">
        <v>1735</v>
      </c>
      <c r="Q12"/>
      <c r="R12">
        <v>1524</v>
      </c>
      <c r="S12">
        <v>1518</v>
      </c>
      <c r="T12">
        <v>1455</v>
      </c>
      <c r="U12">
        <v>1442</v>
      </c>
      <c r="W12">
        <v>1521</v>
      </c>
      <c r="X12">
        <v>2029</v>
      </c>
      <c r="Y12">
        <v>2175</v>
      </c>
      <c r="AA12" s="219">
        <v>0.2</v>
      </c>
      <c r="AB12" s="219">
        <v>0.5</v>
      </c>
      <c r="AC12" s="219">
        <v>0.8</v>
      </c>
      <c r="AD12" s="220">
        <v>1057.5999999999999</v>
      </c>
    </row>
    <row r="13" spans="2:30" x14ac:dyDescent="0.2">
      <c r="B13" s="216">
        <f t="shared" si="0"/>
        <v>10</v>
      </c>
      <c r="C13" s="216">
        <f t="shared" si="1"/>
        <v>4.807692307692308E-2</v>
      </c>
      <c r="D13">
        <v>1837</v>
      </c>
      <c r="E13">
        <v>1210</v>
      </c>
      <c r="F13">
        <v>1530</v>
      </c>
      <c r="G13">
        <v>1641</v>
      </c>
      <c r="H13"/>
      <c r="I13">
        <v>1606</v>
      </c>
      <c r="J13">
        <v>1532</v>
      </c>
      <c r="K13">
        <v>1508</v>
      </c>
      <c r="L13">
        <v>1572</v>
      </c>
      <c r="M13"/>
      <c r="N13">
        <v>1650</v>
      </c>
      <c r="O13">
        <v>1720</v>
      </c>
      <c r="P13">
        <v>1740</v>
      </c>
      <c r="Q13"/>
      <c r="R13">
        <v>1550</v>
      </c>
      <c r="S13">
        <v>1521</v>
      </c>
      <c r="T13">
        <v>1467</v>
      </c>
      <c r="U13">
        <v>1465</v>
      </c>
      <c r="W13">
        <v>1521</v>
      </c>
      <c r="X13">
        <v>2029</v>
      </c>
      <c r="Y13">
        <v>2175</v>
      </c>
      <c r="AA13" s="219">
        <v>0.2</v>
      </c>
      <c r="AB13" s="219">
        <v>0.5</v>
      </c>
      <c r="AC13" s="219">
        <v>0.8</v>
      </c>
      <c r="AD13" s="216">
        <v>1064.8</v>
      </c>
    </row>
    <row r="14" spans="2:30" x14ac:dyDescent="0.2">
      <c r="B14" s="216">
        <f t="shared" si="0"/>
        <v>11</v>
      </c>
      <c r="C14" s="216">
        <f t="shared" si="1"/>
        <v>5.2884615384615384E-2</v>
      </c>
      <c r="D14">
        <v>1850</v>
      </c>
      <c r="E14">
        <v>1228</v>
      </c>
      <c r="F14">
        <v>1530</v>
      </c>
      <c r="G14">
        <v>1645</v>
      </c>
      <c r="H14"/>
      <c r="I14">
        <v>1633</v>
      </c>
      <c r="J14">
        <v>1552</v>
      </c>
      <c r="K14">
        <v>1513</v>
      </c>
      <c r="L14">
        <v>1587</v>
      </c>
      <c r="M14"/>
      <c r="N14">
        <v>1653</v>
      </c>
      <c r="O14">
        <v>1738</v>
      </c>
      <c r="P14">
        <v>1742</v>
      </c>
      <c r="Q14"/>
      <c r="R14">
        <v>1551</v>
      </c>
      <c r="S14">
        <v>1522</v>
      </c>
      <c r="T14">
        <v>1504</v>
      </c>
      <c r="U14">
        <v>1473</v>
      </c>
      <c r="W14">
        <v>1521</v>
      </c>
      <c r="X14">
        <v>2029</v>
      </c>
      <c r="Y14">
        <v>2175</v>
      </c>
      <c r="AA14" s="219">
        <v>0.2</v>
      </c>
      <c r="AB14" s="219">
        <v>0.5</v>
      </c>
      <c r="AC14" s="219">
        <v>0.8</v>
      </c>
      <c r="AD14" s="220">
        <v>1072</v>
      </c>
    </row>
    <row r="15" spans="2:30" x14ac:dyDescent="0.2">
      <c r="B15" s="216">
        <f t="shared" si="0"/>
        <v>12</v>
      </c>
      <c r="C15" s="216">
        <f t="shared" si="1"/>
        <v>5.7692307692307696E-2</v>
      </c>
      <c r="D15">
        <v>1857</v>
      </c>
      <c r="E15">
        <v>1243</v>
      </c>
      <c r="F15">
        <v>1567</v>
      </c>
      <c r="G15">
        <v>1667</v>
      </c>
      <c r="H15"/>
      <c r="I15">
        <v>1633</v>
      </c>
      <c r="J15">
        <v>1575</v>
      </c>
      <c r="K15">
        <v>1520</v>
      </c>
      <c r="L15">
        <v>1589</v>
      </c>
      <c r="M15"/>
      <c r="N15">
        <v>1656</v>
      </c>
      <c r="O15">
        <v>1743</v>
      </c>
      <c r="P15">
        <v>1742</v>
      </c>
      <c r="Q15"/>
      <c r="R15">
        <v>1563</v>
      </c>
      <c r="S15">
        <v>1527</v>
      </c>
      <c r="T15">
        <v>1508</v>
      </c>
      <c r="U15">
        <v>1474</v>
      </c>
      <c r="W15">
        <v>1521</v>
      </c>
      <c r="X15">
        <v>2029</v>
      </c>
      <c r="Y15">
        <v>2175</v>
      </c>
      <c r="AA15" s="219">
        <v>0.2</v>
      </c>
      <c r="AB15" s="219">
        <v>0.5</v>
      </c>
      <c r="AC15" s="219">
        <v>0.8</v>
      </c>
      <c r="AD15" s="220">
        <v>1079.2</v>
      </c>
    </row>
    <row r="16" spans="2:30" x14ac:dyDescent="0.2">
      <c r="B16" s="216">
        <f t="shared" si="0"/>
        <v>13</v>
      </c>
      <c r="C16" s="216">
        <f t="shared" si="1"/>
        <v>6.25E-2</v>
      </c>
      <c r="D16">
        <v>1883</v>
      </c>
      <c r="E16">
        <v>1251</v>
      </c>
      <c r="F16">
        <v>1570</v>
      </c>
      <c r="G16">
        <v>1667</v>
      </c>
      <c r="H16"/>
      <c r="I16">
        <v>1641</v>
      </c>
      <c r="J16">
        <v>1587</v>
      </c>
      <c r="K16">
        <v>1537</v>
      </c>
      <c r="L16">
        <v>1593</v>
      </c>
      <c r="M16"/>
      <c r="N16">
        <v>1660</v>
      </c>
      <c r="O16">
        <v>1745</v>
      </c>
      <c r="P16">
        <v>1748</v>
      </c>
      <c r="Q16"/>
      <c r="R16">
        <v>1566</v>
      </c>
      <c r="S16">
        <v>1527</v>
      </c>
      <c r="T16">
        <v>1516</v>
      </c>
      <c r="U16">
        <v>1482</v>
      </c>
      <c r="W16">
        <v>1521</v>
      </c>
      <c r="X16">
        <v>2029</v>
      </c>
      <c r="Y16">
        <v>2175</v>
      </c>
      <c r="AA16" s="219">
        <v>0.2</v>
      </c>
      <c r="AB16" s="219">
        <v>0.5</v>
      </c>
      <c r="AC16" s="219">
        <v>0.8</v>
      </c>
      <c r="AD16" s="216">
        <v>1086.4000000000001</v>
      </c>
    </row>
    <row r="17" spans="2:30" x14ac:dyDescent="0.2">
      <c r="B17" s="216">
        <f t="shared" si="0"/>
        <v>14</v>
      </c>
      <c r="C17" s="216">
        <f t="shared" si="1"/>
        <v>6.7307692307692304E-2</v>
      </c>
      <c r="D17">
        <v>1899</v>
      </c>
      <c r="E17">
        <v>1254</v>
      </c>
      <c r="F17">
        <v>1573</v>
      </c>
      <c r="G17">
        <v>1672</v>
      </c>
      <c r="H17"/>
      <c r="I17">
        <v>1680</v>
      </c>
      <c r="J17">
        <v>1590</v>
      </c>
      <c r="K17">
        <v>1555</v>
      </c>
      <c r="L17">
        <v>1593</v>
      </c>
      <c r="M17"/>
      <c r="N17">
        <v>1685</v>
      </c>
      <c r="O17">
        <v>1762</v>
      </c>
      <c r="P17">
        <v>1765</v>
      </c>
      <c r="Q17"/>
      <c r="R17">
        <v>1575</v>
      </c>
      <c r="S17">
        <v>1532</v>
      </c>
      <c r="T17">
        <v>1518</v>
      </c>
      <c r="U17">
        <v>1500</v>
      </c>
      <c r="W17">
        <v>1521</v>
      </c>
      <c r="X17">
        <v>2029</v>
      </c>
      <c r="Y17">
        <v>2175</v>
      </c>
      <c r="AA17" s="219">
        <v>0.2</v>
      </c>
      <c r="AB17" s="219">
        <v>0.5</v>
      </c>
      <c r="AC17" s="219">
        <v>0.8</v>
      </c>
      <c r="AD17" s="220">
        <v>1093.5999999999999</v>
      </c>
    </row>
    <row r="18" spans="2:30" x14ac:dyDescent="0.2">
      <c r="B18" s="216">
        <f t="shared" si="0"/>
        <v>15</v>
      </c>
      <c r="C18" s="216">
        <f t="shared" si="1"/>
        <v>7.2115384615384609E-2</v>
      </c>
      <c r="D18">
        <v>1900</v>
      </c>
      <c r="E18">
        <v>1259</v>
      </c>
      <c r="F18">
        <v>1586</v>
      </c>
      <c r="G18">
        <v>1675</v>
      </c>
      <c r="H18"/>
      <c r="I18">
        <v>1686</v>
      </c>
      <c r="J18">
        <v>1593</v>
      </c>
      <c r="K18">
        <v>1557</v>
      </c>
      <c r="L18">
        <v>1603</v>
      </c>
      <c r="M18"/>
      <c r="N18">
        <v>1690</v>
      </c>
      <c r="O18">
        <v>1777</v>
      </c>
      <c r="P18">
        <v>1780</v>
      </c>
      <c r="Q18"/>
      <c r="R18">
        <v>1580</v>
      </c>
      <c r="S18">
        <v>1542</v>
      </c>
      <c r="T18">
        <v>1521</v>
      </c>
      <c r="U18">
        <v>1501</v>
      </c>
      <c r="W18">
        <v>1521</v>
      </c>
      <c r="X18">
        <v>2029</v>
      </c>
      <c r="Y18">
        <v>2175</v>
      </c>
      <c r="AA18" s="219">
        <v>0.2</v>
      </c>
      <c r="AB18" s="219">
        <v>0.5</v>
      </c>
      <c r="AC18" s="219">
        <v>0.8</v>
      </c>
      <c r="AD18" s="220">
        <v>1100.8</v>
      </c>
    </row>
    <row r="19" spans="2:30" x14ac:dyDescent="0.2">
      <c r="B19" s="216">
        <f t="shared" si="0"/>
        <v>16</v>
      </c>
      <c r="C19" s="216">
        <f t="shared" si="1"/>
        <v>7.6923076923076927E-2</v>
      </c>
      <c r="D19">
        <v>1901</v>
      </c>
      <c r="E19">
        <v>1277</v>
      </c>
      <c r="F19">
        <v>1619</v>
      </c>
      <c r="G19">
        <v>1680</v>
      </c>
      <c r="H19"/>
      <c r="I19">
        <v>1690</v>
      </c>
      <c r="J19">
        <v>1597</v>
      </c>
      <c r="K19">
        <v>1583</v>
      </c>
      <c r="L19">
        <v>1606</v>
      </c>
      <c r="M19"/>
      <c r="N19">
        <v>1693</v>
      </c>
      <c r="O19">
        <v>1797</v>
      </c>
      <c r="P19">
        <v>1782</v>
      </c>
      <c r="Q19"/>
      <c r="R19">
        <v>1591</v>
      </c>
      <c r="S19">
        <v>1557</v>
      </c>
      <c r="T19">
        <v>1522</v>
      </c>
      <c r="U19">
        <v>1501</v>
      </c>
      <c r="W19">
        <v>1521</v>
      </c>
      <c r="X19">
        <v>2029</v>
      </c>
      <c r="Y19">
        <v>2175</v>
      </c>
      <c r="AA19" s="219">
        <v>0.2</v>
      </c>
      <c r="AB19" s="219">
        <v>0.5</v>
      </c>
      <c r="AC19" s="219">
        <v>0.8</v>
      </c>
      <c r="AD19" s="216">
        <v>1108</v>
      </c>
    </row>
    <row r="20" spans="2:30" x14ac:dyDescent="0.2">
      <c r="B20" s="216">
        <f t="shared" si="0"/>
        <v>17</v>
      </c>
      <c r="C20" s="216">
        <f t="shared" si="1"/>
        <v>8.1730769230769232E-2</v>
      </c>
      <c r="D20">
        <v>1901</v>
      </c>
      <c r="E20">
        <v>1280</v>
      </c>
      <c r="F20">
        <v>1621</v>
      </c>
      <c r="G20">
        <v>1696</v>
      </c>
      <c r="H20"/>
      <c r="I20">
        <v>1695</v>
      </c>
      <c r="J20">
        <v>1626</v>
      </c>
      <c r="K20">
        <v>1585</v>
      </c>
      <c r="L20">
        <v>1613</v>
      </c>
      <c r="M20"/>
      <c r="N20">
        <v>1701</v>
      </c>
      <c r="O20">
        <v>1800</v>
      </c>
      <c r="P20">
        <v>1800</v>
      </c>
      <c r="Q20"/>
      <c r="R20">
        <v>1596</v>
      </c>
      <c r="S20">
        <v>1559</v>
      </c>
      <c r="T20">
        <v>1522</v>
      </c>
      <c r="U20">
        <v>1504</v>
      </c>
      <c r="W20">
        <v>1521</v>
      </c>
      <c r="X20">
        <v>2029</v>
      </c>
      <c r="Y20">
        <v>2175</v>
      </c>
      <c r="AA20" s="219">
        <v>0.2</v>
      </c>
      <c r="AB20" s="219">
        <v>0.5</v>
      </c>
      <c r="AC20" s="219">
        <v>0.8</v>
      </c>
      <c r="AD20" s="220">
        <v>1115.2</v>
      </c>
    </row>
    <row r="21" spans="2:30" x14ac:dyDescent="0.2">
      <c r="B21" s="216">
        <f t="shared" si="0"/>
        <v>18</v>
      </c>
      <c r="C21" s="216">
        <f t="shared" si="1"/>
        <v>8.6538461538461536E-2</v>
      </c>
      <c r="D21">
        <v>1902</v>
      </c>
      <c r="E21">
        <v>1300</v>
      </c>
      <c r="F21">
        <v>1623</v>
      </c>
      <c r="G21">
        <v>1698</v>
      </c>
      <c r="H21"/>
      <c r="I21">
        <v>1700</v>
      </c>
      <c r="J21">
        <v>1650</v>
      </c>
      <c r="K21">
        <v>1586</v>
      </c>
      <c r="L21">
        <v>1665</v>
      </c>
      <c r="M21"/>
      <c r="N21">
        <v>1717</v>
      </c>
      <c r="O21">
        <v>1800</v>
      </c>
      <c r="P21">
        <v>1817</v>
      </c>
      <c r="Q21"/>
      <c r="R21">
        <v>1597</v>
      </c>
      <c r="S21">
        <v>1563</v>
      </c>
      <c r="T21">
        <v>1523</v>
      </c>
      <c r="U21">
        <v>1509</v>
      </c>
      <c r="W21">
        <v>1521</v>
      </c>
      <c r="X21">
        <v>2029</v>
      </c>
      <c r="Y21">
        <v>2175</v>
      </c>
      <c r="AA21" s="219">
        <v>0.2</v>
      </c>
      <c r="AB21" s="219">
        <v>0.5</v>
      </c>
      <c r="AC21" s="219">
        <v>0.8</v>
      </c>
      <c r="AD21" s="220">
        <v>1122.4000000000001</v>
      </c>
    </row>
    <row r="22" spans="2:30" x14ac:dyDescent="0.2">
      <c r="B22" s="216">
        <f t="shared" si="0"/>
        <v>19</v>
      </c>
      <c r="C22" s="216">
        <f t="shared" si="1"/>
        <v>9.1346153846153841E-2</v>
      </c>
      <c r="D22">
        <v>1908</v>
      </c>
      <c r="E22">
        <v>1300</v>
      </c>
      <c r="F22">
        <v>1626</v>
      </c>
      <c r="G22">
        <v>1700</v>
      </c>
      <c r="H22"/>
      <c r="I22">
        <v>1703</v>
      </c>
      <c r="J22">
        <v>1653</v>
      </c>
      <c r="K22">
        <v>1599</v>
      </c>
      <c r="L22">
        <v>1665</v>
      </c>
      <c r="M22"/>
      <c r="N22">
        <v>1725</v>
      </c>
      <c r="O22">
        <v>1810</v>
      </c>
      <c r="P22">
        <v>1825</v>
      </c>
      <c r="Q22"/>
      <c r="R22">
        <v>1599</v>
      </c>
      <c r="S22">
        <v>1563</v>
      </c>
      <c r="T22">
        <v>1527</v>
      </c>
      <c r="U22">
        <v>1518</v>
      </c>
      <c r="W22">
        <v>1521</v>
      </c>
      <c r="X22">
        <v>2029</v>
      </c>
      <c r="Y22">
        <v>2175</v>
      </c>
      <c r="AA22" s="219">
        <v>0.2</v>
      </c>
      <c r="AB22" s="219">
        <v>0.5</v>
      </c>
      <c r="AC22" s="219">
        <v>0.8</v>
      </c>
      <c r="AD22" s="216">
        <v>1129.5999999999999</v>
      </c>
    </row>
    <row r="23" spans="2:30" x14ac:dyDescent="0.2">
      <c r="B23" s="216">
        <f t="shared" si="0"/>
        <v>20</v>
      </c>
      <c r="C23" s="216">
        <f t="shared" si="1"/>
        <v>9.6153846153846159E-2</v>
      </c>
      <c r="D23">
        <v>1910</v>
      </c>
      <c r="E23">
        <v>1301</v>
      </c>
      <c r="F23">
        <v>1626</v>
      </c>
      <c r="G23">
        <v>1710</v>
      </c>
      <c r="H23"/>
      <c r="I23">
        <v>1725</v>
      </c>
      <c r="J23">
        <v>1680</v>
      </c>
      <c r="K23">
        <v>1601</v>
      </c>
      <c r="L23">
        <v>1667</v>
      </c>
      <c r="M23"/>
      <c r="N23">
        <v>1737</v>
      </c>
      <c r="O23">
        <v>1813</v>
      </c>
      <c r="P23">
        <v>1834</v>
      </c>
      <c r="Q23"/>
      <c r="R23">
        <v>1600</v>
      </c>
      <c r="S23">
        <v>1569</v>
      </c>
      <c r="T23">
        <v>1527</v>
      </c>
      <c r="U23">
        <v>1518</v>
      </c>
      <c r="W23">
        <v>1521</v>
      </c>
      <c r="X23">
        <v>2029</v>
      </c>
      <c r="Y23">
        <v>2175</v>
      </c>
      <c r="AA23" s="219">
        <v>0.2</v>
      </c>
      <c r="AB23" s="219">
        <v>0.5</v>
      </c>
      <c r="AC23" s="219">
        <v>0.8</v>
      </c>
      <c r="AD23" s="220">
        <v>1136.8</v>
      </c>
    </row>
    <row r="24" spans="2:30" x14ac:dyDescent="0.2">
      <c r="B24" s="216">
        <f t="shared" si="0"/>
        <v>21</v>
      </c>
      <c r="C24" s="216">
        <f t="shared" si="1"/>
        <v>0.10096153846153846</v>
      </c>
      <c r="D24">
        <v>1921</v>
      </c>
      <c r="E24">
        <v>1304</v>
      </c>
      <c r="F24">
        <v>1630</v>
      </c>
      <c r="G24">
        <v>1717</v>
      </c>
      <c r="H24"/>
      <c r="I24">
        <v>1732</v>
      </c>
      <c r="J24">
        <v>1680</v>
      </c>
      <c r="K24">
        <v>1603</v>
      </c>
      <c r="L24">
        <v>1668</v>
      </c>
      <c r="M24"/>
      <c r="N24">
        <v>1738</v>
      </c>
      <c r="O24">
        <v>1833</v>
      </c>
      <c r="P24">
        <v>1840</v>
      </c>
      <c r="Q24"/>
      <c r="R24">
        <v>1603</v>
      </c>
      <c r="S24">
        <v>1576</v>
      </c>
      <c r="T24">
        <v>1529</v>
      </c>
      <c r="U24">
        <v>1520</v>
      </c>
      <c r="W24">
        <v>1521</v>
      </c>
      <c r="X24">
        <v>2029</v>
      </c>
      <c r="Y24">
        <v>2175</v>
      </c>
      <c r="AA24" s="219">
        <v>0.2</v>
      </c>
      <c r="AB24" s="219">
        <v>0.5</v>
      </c>
      <c r="AC24" s="219">
        <v>0.8</v>
      </c>
      <c r="AD24" s="220">
        <v>1144</v>
      </c>
    </row>
    <row r="25" spans="2:30" x14ac:dyDescent="0.2">
      <c r="B25" s="216">
        <f t="shared" si="0"/>
        <v>22</v>
      </c>
      <c r="C25" s="216">
        <f t="shared" si="1"/>
        <v>0.10576923076923077</v>
      </c>
      <c r="D25">
        <v>1922</v>
      </c>
      <c r="E25">
        <v>1307</v>
      </c>
      <c r="F25">
        <v>1633</v>
      </c>
      <c r="G25">
        <v>1721</v>
      </c>
      <c r="H25"/>
      <c r="I25">
        <v>1738</v>
      </c>
      <c r="J25">
        <v>1685</v>
      </c>
      <c r="K25">
        <v>1606</v>
      </c>
      <c r="L25">
        <v>1692</v>
      </c>
      <c r="M25"/>
      <c r="N25">
        <v>1750</v>
      </c>
      <c r="O25">
        <v>1834</v>
      </c>
      <c r="P25">
        <v>1843</v>
      </c>
      <c r="Q25"/>
      <c r="R25">
        <v>1603</v>
      </c>
      <c r="S25">
        <v>1580</v>
      </c>
      <c r="T25">
        <v>1530</v>
      </c>
      <c r="U25">
        <v>1521</v>
      </c>
      <c r="W25">
        <v>1521</v>
      </c>
      <c r="X25">
        <v>2029</v>
      </c>
      <c r="Y25">
        <v>2175</v>
      </c>
      <c r="AA25" s="219">
        <v>0.2</v>
      </c>
      <c r="AB25" s="219">
        <v>0.5</v>
      </c>
      <c r="AC25" s="219">
        <v>0.8</v>
      </c>
      <c r="AD25" s="216">
        <v>1151.2</v>
      </c>
    </row>
    <row r="26" spans="2:30" x14ac:dyDescent="0.2">
      <c r="B26" s="216">
        <f t="shared" si="0"/>
        <v>23</v>
      </c>
      <c r="C26" s="216">
        <f t="shared" si="1"/>
        <v>0.11057692307692307</v>
      </c>
      <c r="D26">
        <v>1929</v>
      </c>
      <c r="E26">
        <v>1328</v>
      </c>
      <c r="F26">
        <v>1633</v>
      </c>
      <c r="G26">
        <v>1732</v>
      </c>
      <c r="H26"/>
      <c r="I26">
        <v>1743</v>
      </c>
      <c r="J26">
        <v>1692</v>
      </c>
      <c r="K26">
        <v>1606</v>
      </c>
      <c r="L26">
        <v>1693</v>
      </c>
      <c r="M26"/>
      <c r="N26">
        <v>1755</v>
      </c>
      <c r="O26">
        <v>1834</v>
      </c>
      <c r="P26">
        <v>1850</v>
      </c>
      <c r="Q26"/>
      <c r="R26">
        <v>1603</v>
      </c>
      <c r="S26">
        <v>1583</v>
      </c>
      <c r="T26">
        <v>1530</v>
      </c>
      <c r="U26">
        <v>1522</v>
      </c>
      <c r="W26">
        <v>1521</v>
      </c>
      <c r="X26">
        <v>2029</v>
      </c>
      <c r="Y26">
        <v>2175</v>
      </c>
      <c r="AA26" s="219">
        <v>0.2</v>
      </c>
      <c r="AB26" s="219">
        <v>0.5</v>
      </c>
      <c r="AC26" s="219">
        <v>0.8</v>
      </c>
      <c r="AD26" s="220">
        <v>1158.4000000000001</v>
      </c>
    </row>
    <row r="27" spans="2:30" x14ac:dyDescent="0.2">
      <c r="B27" s="216">
        <f t="shared" si="0"/>
        <v>24</v>
      </c>
      <c r="C27" s="216">
        <f t="shared" si="1"/>
        <v>0.11538461538461539</v>
      </c>
      <c r="D27">
        <v>1964</v>
      </c>
      <c r="E27">
        <v>1345</v>
      </c>
      <c r="F27">
        <v>1635</v>
      </c>
      <c r="G27">
        <v>1736</v>
      </c>
      <c r="H27"/>
      <c r="I27">
        <v>1748</v>
      </c>
      <c r="J27">
        <v>1696</v>
      </c>
      <c r="K27">
        <v>1611</v>
      </c>
      <c r="L27">
        <v>1707</v>
      </c>
      <c r="M27"/>
      <c r="N27">
        <v>1757</v>
      </c>
      <c r="O27">
        <v>1839</v>
      </c>
      <c r="P27">
        <v>1850</v>
      </c>
      <c r="Q27"/>
      <c r="R27">
        <v>1613</v>
      </c>
      <c r="S27">
        <v>1585</v>
      </c>
      <c r="T27">
        <v>1531</v>
      </c>
      <c r="U27">
        <v>1522</v>
      </c>
      <c r="W27">
        <v>1521</v>
      </c>
      <c r="X27">
        <v>2029</v>
      </c>
      <c r="Y27">
        <v>2175</v>
      </c>
      <c r="AA27" s="219">
        <v>0.2</v>
      </c>
      <c r="AB27" s="219">
        <v>0.5</v>
      </c>
      <c r="AC27" s="219">
        <v>0.8</v>
      </c>
      <c r="AD27" s="220">
        <v>1165.5999999999999</v>
      </c>
    </row>
    <row r="28" spans="2:30" x14ac:dyDescent="0.2">
      <c r="B28" s="216">
        <f t="shared" si="0"/>
        <v>25</v>
      </c>
      <c r="C28" s="216">
        <f t="shared" si="1"/>
        <v>0.1201923076923077</v>
      </c>
      <c r="D28">
        <v>1971</v>
      </c>
      <c r="E28">
        <v>1351</v>
      </c>
      <c r="F28">
        <v>1643</v>
      </c>
      <c r="G28">
        <v>1738</v>
      </c>
      <c r="H28"/>
      <c r="I28">
        <v>1750</v>
      </c>
      <c r="J28">
        <v>1698</v>
      </c>
      <c r="K28">
        <v>1613</v>
      </c>
      <c r="L28">
        <v>1715</v>
      </c>
      <c r="M28"/>
      <c r="N28">
        <v>1757</v>
      </c>
      <c r="O28">
        <v>1840</v>
      </c>
      <c r="P28">
        <v>1854</v>
      </c>
      <c r="Q28"/>
      <c r="R28">
        <v>1615</v>
      </c>
      <c r="S28">
        <v>1585</v>
      </c>
      <c r="T28">
        <v>1532</v>
      </c>
      <c r="U28">
        <v>1524</v>
      </c>
      <c r="W28">
        <v>1521</v>
      </c>
      <c r="X28">
        <v>2029</v>
      </c>
      <c r="Y28">
        <v>2175</v>
      </c>
      <c r="AA28" s="219">
        <v>0.2</v>
      </c>
      <c r="AB28" s="219">
        <v>0.5</v>
      </c>
      <c r="AC28" s="219">
        <v>0.8</v>
      </c>
      <c r="AD28" s="216">
        <v>1172.8</v>
      </c>
    </row>
    <row r="29" spans="2:30" x14ac:dyDescent="0.2">
      <c r="B29" s="216">
        <f t="shared" si="0"/>
        <v>26</v>
      </c>
      <c r="C29" s="216">
        <f t="shared" si="1"/>
        <v>0.125</v>
      </c>
      <c r="D29">
        <v>1980</v>
      </c>
      <c r="E29">
        <v>1351</v>
      </c>
      <c r="F29">
        <v>1645</v>
      </c>
      <c r="G29">
        <v>1738</v>
      </c>
      <c r="H29"/>
      <c r="I29">
        <v>1768</v>
      </c>
      <c r="J29">
        <v>1698</v>
      </c>
      <c r="K29">
        <v>1641</v>
      </c>
      <c r="L29">
        <v>1722</v>
      </c>
      <c r="M29"/>
      <c r="N29">
        <v>1763</v>
      </c>
      <c r="O29">
        <v>1843</v>
      </c>
      <c r="P29">
        <v>1860</v>
      </c>
      <c r="Q29"/>
      <c r="R29">
        <v>1631</v>
      </c>
      <c r="S29">
        <v>1588</v>
      </c>
      <c r="T29">
        <v>1542</v>
      </c>
      <c r="U29">
        <v>1524</v>
      </c>
      <c r="W29">
        <v>1521</v>
      </c>
      <c r="X29">
        <v>2029</v>
      </c>
      <c r="Y29">
        <v>2175</v>
      </c>
      <c r="AA29" s="219">
        <v>0.2</v>
      </c>
      <c r="AB29" s="219">
        <v>0.5</v>
      </c>
      <c r="AC29" s="219">
        <v>0.8</v>
      </c>
      <c r="AD29" s="220">
        <v>1180</v>
      </c>
    </row>
    <row r="30" spans="2:30" x14ac:dyDescent="0.2">
      <c r="B30" s="216">
        <f t="shared" si="0"/>
        <v>27</v>
      </c>
      <c r="C30" s="216">
        <f t="shared" si="1"/>
        <v>0.12980769230769232</v>
      </c>
      <c r="D30">
        <v>2000</v>
      </c>
      <c r="E30">
        <v>1355</v>
      </c>
      <c r="F30">
        <v>1645</v>
      </c>
      <c r="G30">
        <v>1740</v>
      </c>
      <c r="H30"/>
      <c r="I30">
        <v>1788</v>
      </c>
      <c r="J30">
        <v>1705</v>
      </c>
      <c r="K30">
        <v>1643</v>
      </c>
      <c r="L30">
        <v>1730</v>
      </c>
      <c r="M30"/>
      <c r="N30">
        <v>1763</v>
      </c>
      <c r="O30">
        <v>1871</v>
      </c>
      <c r="P30">
        <v>1867</v>
      </c>
      <c r="Q30"/>
      <c r="R30">
        <v>1636</v>
      </c>
      <c r="S30">
        <v>1591</v>
      </c>
      <c r="T30">
        <v>1548</v>
      </c>
      <c r="U30">
        <v>1526</v>
      </c>
      <c r="W30">
        <v>1521</v>
      </c>
      <c r="X30">
        <v>2029</v>
      </c>
      <c r="Y30">
        <v>2175</v>
      </c>
      <c r="AA30" s="219">
        <v>0.2</v>
      </c>
      <c r="AB30" s="219">
        <v>0.5</v>
      </c>
      <c r="AC30" s="219">
        <v>0.8</v>
      </c>
      <c r="AD30" s="220">
        <v>1187.2</v>
      </c>
    </row>
    <row r="31" spans="2:30" x14ac:dyDescent="0.2">
      <c r="B31" s="216">
        <f t="shared" si="0"/>
        <v>28</v>
      </c>
      <c r="C31" s="216">
        <f t="shared" si="1"/>
        <v>0.13461538461538461</v>
      </c>
      <c r="D31">
        <v>2006</v>
      </c>
      <c r="E31">
        <v>1357</v>
      </c>
      <c r="F31">
        <v>1650</v>
      </c>
      <c r="G31">
        <v>1750</v>
      </c>
      <c r="H31"/>
      <c r="I31">
        <v>1800</v>
      </c>
      <c r="J31">
        <v>1705</v>
      </c>
      <c r="K31">
        <v>1647</v>
      </c>
      <c r="L31">
        <v>1735</v>
      </c>
      <c r="M31"/>
      <c r="N31">
        <v>1767</v>
      </c>
      <c r="O31">
        <v>1877</v>
      </c>
      <c r="P31">
        <v>1868</v>
      </c>
      <c r="Q31"/>
      <c r="R31">
        <v>1645</v>
      </c>
      <c r="S31">
        <v>1592</v>
      </c>
      <c r="T31">
        <v>1552</v>
      </c>
      <c r="U31">
        <v>1527</v>
      </c>
      <c r="W31">
        <v>1521</v>
      </c>
      <c r="X31">
        <v>2029</v>
      </c>
      <c r="Y31">
        <v>2175</v>
      </c>
      <c r="AA31" s="219">
        <v>0.2</v>
      </c>
      <c r="AB31" s="219">
        <v>0.5</v>
      </c>
      <c r="AC31" s="219">
        <v>0.8</v>
      </c>
      <c r="AD31" s="216">
        <v>1194.4000000000001</v>
      </c>
    </row>
    <row r="32" spans="2:30" x14ac:dyDescent="0.2">
      <c r="B32" s="216">
        <f t="shared" si="0"/>
        <v>29</v>
      </c>
      <c r="C32" s="216">
        <f t="shared" si="1"/>
        <v>0.13942307692307693</v>
      </c>
      <c r="D32">
        <v>2012</v>
      </c>
      <c r="E32">
        <v>1362</v>
      </c>
      <c r="F32">
        <v>1651</v>
      </c>
      <c r="G32">
        <v>1750</v>
      </c>
      <c r="H32"/>
      <c r="I32">
        <v>1802</v>
      </c>
      <c r="J32">
        <v>1708</v>
      </c>
      <c r="K32">
        <v>1651</v>
      </c>
      <c r="L32">
        <v>1748</v>
      </c>
      <c r="M32"/>
      <c r="N32">
        <v>1773</v>
      </c>
      <c r="O32">
        <v>1877</v>
      </c>
      <c r="P32">
        <v>1873</v>
      </c>
      <c r="Q32"/>
      <c r="R32">
        <v>1647</v>
      </c>
      <c r="S32">
        <v>1598</v>
      </c>
      <c r="T32">
        <v>1553</v>
      </c>
      <c r="U32">
        <v>1528</v>
      </c>
      <c r="W32">
        <v>1521</v>
      </c>
      <c r="X32">
        <v>2029</v>
      </c>
      <c r="Y32">
        <v>2175</v>
      </c>
      <c r="AA32" s="219">
        <v>0.2</v>
      </c>
      <c r="AB32" s="219">
        <v>0.5</v>
      </c>
      <c r="AC32" s="219">
        <v>0.8</v>
      </c>
      <c r="AD32" s="220">
        <v>1201.5999999999999</v>
      </c>
    </row>
    <row r="33" spans="2:30" x14ac:dyDescent="0.2">
      <c r="B33" s="216">
        <f t="shared" si="0"/>
        <v>30</v>
      </c>
      <c r="C33" s="216">
        <f t="shared" si="1"/>
        <v>0.14423076923076922</v>
      </c>
      <c r="D33">
        <v>2018</v>
      </c>
      <c r="E33">
        <v>1388</v>
      </c>
      <c r="F33">
        <v>1653</v>
      </c>
      <c r="G33">
        <v>1758</v>
      </c>
      <c r="H33"/>
      <c r="I33">
        <v>1808</v>
      </c>
      <c r="J33">
        <v>1720</v>
      </c>
      <c r="K33">
        <v>1656</v>
      </c>
      <c r="L33">
        <v>1750</v>
      </c>
      <c r="M33"/>
      <c r="N33">
        <v>1783</v>
      </c>
      <c r="O33">
        <v>1889</v>
      </c>
      <c r="P33">
        <v>1873</v>
      </c>
      <c r="Q33"/>
      <c r="R33">
        <v>1655</v>
      </c>
      <c r="S33">
        <v>1598</v>
      </c>
      <c r="T33">
        <v>1555</v>
      </c>
      <c r="U33">
        <v>1530</v>
      </c>
      <c r="W33">
        <v>1521</v>
      </c>
      <c r="X33">
        <v>2029</v>
      </c>
      <c r="Y33">
        <v>2175</v>
      </c>
      <c r="AA33" s="219">
        <v>0.2</v>
      </c>
      <c r="AB33" s="219">
        <v>0.5</v>
      </c>
      <c r="AC33" s="219">
        <v>0.8</v>
      </c>
      <c r="AD33" s="220">
        <v>1208.8</v>
      </c>
    </row>
    <row r="34" spans="2:30" x14ac:dyDescent="0.2">
      <c r="B34" s="216">
        <f t="shared" si="0"/>
        <v>31</v>
      </c>
      <c r="C34" s="216">
        <f t="shared" si="1"/>
        <v>0.14903846153846154</v>
      </c>
      <c r="D34">
        <v>2019</v>
      </c>
      <c r="E34">
        <v>1388</v>
      </c>
      <c r="F34">
        <v>1660</v>
      </c>
      <c r="G34">
        <v>1758</v>
      </c>
      <c r="H34"/>
      <c r="I34">
        <v>1810</v>
      </c>
      <c r="J34">
        <v>1723</v>
      </c>
      <c r="K34">
        <v>1676</v>
      </c>
      <c r="L34">
        <v>1753</v>
      </c>
      <c r="M34"/>
      <c r="N34">
        <v>1794</v>
      </c>
      <c r="O34">
        <v>1890</v>
      </c>
      <c r="P34">
        <v>1877</v>
      </c>
      <c r="Q34"/>
      <c r="R34">
        <v>1655</v>
      </c>
      <c r="S34">
        <v>1600</v>
      </c>
      <c r="T34">
        <v>1556</v>
      </c>
      <c r="U34">
        <v>1531</v>
      </c>
      <c r="W34">
        <v>1521</v>
      </c>
      <c r="X34">
        <v>2029</v>
      </c>
      <c r="Y34">
        <v>2175</v>
      </c>
      <c r="AA34" s="219">
        <v>0.2</v>
      </c>
      <c r="AB34" s="219">
        <v>0.5</v>
      </c>
      <c r="AC34" s="219">
        <v>0.8</v>
      </c>
      <c r="AD34" s="216">
        <v>1216</v>
      </c>
    </row>
    <row r="35" spans="2:30" x14ac:dyDescent="0.2">
      <c r="B35" s="216">
        <f t="shared" si="0"/>
        <v>32</v>
      </c>
      <c r="C35" s="216">
        <f t="shared" si="1"/>
        <v>0.15384615384615385</v>
      </c>
      <c r="D35">
        <v>2025</v>
      </c>
      <c r="E35">
        <v>1398</v>
      </c>
      <c r="F35">
        <v>1663</v>
      </c>
      <c r="G35">
        <v>1763</v>
      </c>
      <c r="H35"/>
      <c r="I35">
        <v>1812</v>
      </c>
      <c r="J35">
        <v>1725</v>
      </c>
      <c r="K35">
        <v>1678</v>
      </c>
      <c r="L35">
        <v>1777</v>
      </c>
      <c r="M35"/>
      <c r="N35">
        <v>1800</v>
      </c>
      <c r="O35">
        <v>1897</v>
      </c>
      <c r="P35">
        <v>1894</v>
      </c>
      <c r="Q35"/>
      <c r="R35">
        <v>1666</v>
      </c>
      <c r="S35">
        <v>1600</v>
      </c>
      <c r="T35">
        <v>1556</v>
      </c>
      <c r="U35">
        <v>1532</v>
      </c>
      <c r="W35">
        <v>1521</v>
      </c>
      <c r="X35">
        <v>2029</v>
      </c>
      <c r="Y35">
        <v>2175</v>
      </c>
      <c r="AA35" s="219">
        <v>0.2</v>
      </c>
      <c r="AB35" s="219">
        <v>0.5</v>
      </c>
      <c r="AC35" s="219">
        <v>0.8</v>
      </c>
      <c r="AD35" s="220">
        <v>1223.2</v>
      </c>
    </row>
    <row r="36" spans="2:30" x14ac:dyDescent="0.2">
      <c r="B36" s="216">
        <f t="shared" si="0"/>
        <v>33</v>
      </c>
      <c r="C36" s="216">
        <f t="shared" si="1"/>
        <v>0.15865384615384615</v>
      </c>
      <c r="D36">
        <v>2028</v>
      </c>
      <c r="E36">
        <v>1401</v>
      </c>
      <c r="F36">
        <v>1665</v>
      </c>
      <c r="G36">
        <v>1765</v>
      </c>
      <c r="H36"/>
      <c r="I36">
        <v>1820</v>
      </c>
      <c r="J36">
        <v>1742</v>
      </c>
      <c r="K36">
        <v>1690</v>
      </c>
      <c r="L36">
        <v>1777</v>
      </c>
      <c r="M36"/>
      <c r="N36">
        <v>1800</v>
      </c>
      <c r="O36">
        <v>1898</v>
      </c>
      <c r="P36">
        <v>1894</v>
      </c>
      <c r="Q36"/>
      <c r="R36">
        <v>1667</v>
      </c>
      <c r="S36">
        <v>1603</v>
      </c>
      <c r="T36">
        <v>1557</v>
      </c>
      <c r="U36">
        <v>1532</v>
      </c>
      <c r="W36">
        <v>1521</v>
      </c>
      <c r="X36">
        <v>2029</v>
      </c>
      <c r="Y36">
        <v>2175</v>
      </c>
      <c r="AA36" s="219">
        <v>0.2</v>
      </c>
      <c r="AB36" s="219">
        <v>0.5</v>
      </c>
      <c r="AC36" s="219">
        <v>0.8</v>
      </c>
      <c r="AD36" s="220">
        <v>1230.4000000000001</v>
      </c>
    </row>
    <row r="37" spans="2:30" x14ac:dyDescent="0.2">
      <c r="B37" s="216">
        <f t="shared" si="0"/>
        <v>34</v>
      </c>
      <c r="C37" s="216">
        <f t="shared" si="1"/>
        <v>0.16346153846153846</v>
      </c>
      <c r="D37">
        <v>2028</v>
      </c>
      <c r="E37">
        <v>1402</v>
      </c>
      <c r="F37">
        <v>1671</v>
      </c>
      <c r="G37">
        <v>1773</v>
      </c>
      <c r="H37"/>
      <c r="I37">
        <v>1824</v>
      </c>
      <c r="J37">
        <v>1752</v>
      </c>
      <c r="K37">
        <v>1693</v>
      </c>
      <c r="L37">
        <v>1777</v>
      </c>
      <c r="M37"/>
      <c r="N37">
        <v>1800</v>
      </c>
      <c r="O37">
        <v>1900</v>
      </c>
      <c r="P37">
        <v>1895</v>
      </c>
      <c r="Q37"/>
      <c r="R37">
        <v>1670</v>
      </c>
      <c r="S37">
        <v>1610</v>
      </c>
      <c r="T37">
        <v>1558</v>
      </c>
      <c r="U37">
        <v>1537</v>
      </c>
      <c r="W37">
        <v>1521</v>
      </c>
      <c r="X37">
        <v>2029</v>
      </c>
      <c r="Y37">
        <v>2175</v>
      </c>
      <c r="AA37" s="219">
        <v>0.2</v>
      </c>
      <c r="AB37" s="219">
        <v>0.5</v>
      </c>
      <c r="AC37" s="219">
        <v>0.8</v>
      </c>
      <c r="AD37" s="216">
        <v>1237.5999999999999</v>
      </c>
    </row>
    <row r="38" spans="2:30" x14ac:dyDescent="0.2">
      <c r="B38" s="216">
        <f t="shared" si="0"/>
        <v>35</v>
      </c>
      <c r="C38" s="216">
        <f t="shared" si="1"/>
        <v>0.16826923076923078</v>
      </c>
      <c r="D38">
        <v>2030</v>
      </c>
      <c r="E38">
        <v>1408</v>
      </c>
      <c r="F38">
        <v>1683</v>
      </c>
      <c r="G38">
        <v>1780</v>
      </c>
      <c r="H38"/>
      <c r="I38">
        <v>1825</v>
      </c>
      <c r="J38">
        <v>1757</v>
      </c>
      <c r="K38">
        <v>1710</v>
      </c>
      <c r="L38">
        <v>1780</v>
      </c>
      <c r="M38"/>
      <c r="N38">
        <v>1803</v>
      </c>
      <c r="O38">
        <v>1901</v>
      </c>
      <c r="P38">
        <v>1899</v>
      </c>
      <c r="Q38"/>
      <c r="R38">
        <v>1673</v>
      </c>
      <c r="S38">
        <v>1615</v>
      </c>
      <c r="T38">
        <v>1560</v>
      </c>
      <c r="U38">
        <v>1540</v>
      </c>
      <c r="W38">
        <v>1521</v>
      </c>
      <c r="X38">
        <v>2029</v>
      </c>
      <c r="Y38">
        <v>2175</v>
      </c>
      <c r="AA38" s="219">
        <v>0.2</v>
      </c>
      <c r="AB38" s="219">
        <v>0.5</v>
      </c>
      <c r="AC38" s="219">
        <v>0.8</v>
      </c>
      <c r="AD38" s="220">
        <v>1244.8</v>
      </c>
    </row>
    <row r="39" spans="2:30" x14ac:dyDescent="0.2">
      <c r="B39" s="216">
        <f t="shared" si="0"/>
        <v>36</v>
      </c>
      <c r="C39" s="216">
        <f t="shared" si="1"/>
        <v>0.17307692307692307</v>
      </c>
      <c r="D39">
        <v>2032</v>
      </c>
      <c r="E39">
        <v>1421</v>
      </c>
      <c r="F39">
        <v>1685</v>
      </c>
      <c r="G39">
        <v>1787</v>
      </c>
      <c r="H39"/>
      <c r="I39">
        <v>1827</v>
      </c>
      <c r="J39">
        <v>1768</v>
      </c>
      <c r="K39">
        <v>1713</v>
      </c>
      <c r="L39">
        <v>1797</v>
      </c>
      <c r="M39"/>
      <c r="N39">
        <v>1804</v>
      </c>
      <c r="O39">
        <v>1901</v>
      </c>
      <c r="P39">
        <v>1899</v>
      </c>
      <c r="Q39"/>
      <c r="R39">
        <v>1683</v>
      </c>
      <c r="S39">
        <v>1622</v>
      </c>
      <c r="T39">
        <v>1561</v>
      </c>
      <c r="U39">
        <v>1541</v>
      </c>
      <c r="W39">
        <v>1521</v>
      </c>
      <c r="X39">
        <v>2029</v>
      </c>
      <c r="Y39">
        <v>2175</v>
      </c>
      <c r="AA39" s="219">
        <v>0.2</v>
      </c>
      <c r="AB39" s="219">
        <v>0.5</v>
      </c>
      <c r="AC39" s="219">
        <v>0.8</v>
      </c>
      <c r="AD39" s="220">
        <v>1252</v>
      </c>
    </row>
    <row r="40" spans="2:30" x14ac:dyDescent="0.2">
      <c r="B40" s="216">
        <f t="shared" si="0"/>
        <v>37</v>
      </c>
      <c r="C40" s="216">
        <f t="shared" si="1"/>
        <v>0.17788461538461539</v>
      </c>
      <c r="D40">
        <v>2035</v>
      </c>
      <c r="E40">
        <v>1425</v>
      </c>
      <c r="F40">
        <v>1688</v>
      </c>
      <c r="G40">
        <v>1790</v>
      </c>
      <c r="H40"/>
      <c r="I40">
        <v>1832</v>
      </c>
      <c r="J40">
        <v>1768</v>
      </c>
      <c r="K40">
        <v>1737</v>
      </c>
      <c r="L40">
        <v>1797</v>
      </c>
      <c r="M40"/>
      <c r="N40">
        <v>1808</v>
      </c>
      <c r="O40">
        <v>1904</v>
      </c>
      <c r="P40">
        <v>1900</v>
      </c>
      <c r="Q40"/>
      <c r="R40">
        <v>1685</v>
      </c>
      <c r="S40">
        <v>1623</v>
      </c>
      <c r="T40">
        <v>1565</v>
      </c>
      <c r="U40">
        <v>1542</v>
      </c>
      <c r="W40">
        <v>1521</v>
      </c>
      <c r="X40">
        <v>2029</v>
      </c>
      <c r="Y40">
        <v>2175</v>
      </c>
      <c r="AA40" s="219">
        <v>0.2</v>
      </c>
      <c r="AB40" s="219">
        <v>0.5</v>
      </c>
      <c r="AC40" s="219">
        <v>0.8</v>
      </c>
      <c r="AD40" s="216">
        <v>1259.2</v>
      </c>
    </row>
    <row r="41" spans="2:30" x14ac:dyDescent="0.2">
      <c r="B41" s="216">
        <f t="shared" si="0"/>
        <v>38</v>
      </c>
      <c r="C41" s="216">
        <f t="shared" si="1"/>
        <v>0.18269230769230768</v>
      </c>
      <c r="D41">
        <v>2039</v>
      </c>
      <c r="E41">
        <v>1427</v>
      </c>
      <c r="F41">
        <v>1690</v>
      </c>
      <c r="G41">
        <v>1790</v>
      </c>
      <c r="H41"/>
      <c r="I41">
        <v>1835</v>
      </c>
      <c r="J41">
        <v>1770</v>
      </c>
      <c r="K41">
        <v>1745</v>
      </c>
      <c r="L41">
        <v>1800</v>
      </c>
      <c r="M41"/>
      <c r="N41">
        <v>1810</v>
      </c>
      <c r="O41">
        <v>1914</v>
      </c>
      <c r="P41">
        <v>1904</v>
      </c>
      <c r="Q41"/>
      <c r="R41">
        <v>1686</v>
      </c>
      <c r="S41">
        <v>1626</v>
      </c>
      <c r="T41">
        <v>1566</v>
      </c>
      <c r="U41">
        <v>1542</v>
      </c>
      <c r="W41">
        <v>1521</v>
      </c>
      <c r="X41">
        <v>2029</v>
      </c>
      <c r="Y41">
        <v>2175</v>
      </c>
      <c r="AA41" s="219">
        <v>0.2</v>
      </c>
      <c r="AB41" s="219">
        <v>0.5</v>
      </c>
      <c r="AC41" s="219">
        <v>0.8</v>
      </c>
      <c r="AD41" s="220">
        <v>1266.4000000000001</v>
      </c>
    </row>
    <row r="42" spans="2:30" x14ac:dyDescent="0.2">
      <c r="B42" s="216">
        <f t="shared" si="0"/>
        <v>39</v>
      </c>
      <c r="C42" s="216">
        <f t="shared" si="1"/>
        <v>0.1875</v>
      </c>
      <c r="D42">
        <v>2040</v>
      </c>
      <c r="E42">
        <v>1428</v>
      </c>
      <c r="F42">
        <v>1693</v>
      </c>
      <c r="G42">
        <v>1802</v>
      </c>
      <c r="H42"/>
      <c r="I42">
        <v>1840</v>
      </c>
      <c r="J42">
        <v>1773</v>
      </c>
      <c r="K42">
        <v>1750</v>
      </c>
      <c r="L42">
        <v>1800</v>
      </c>
      <c r="M42"/>
      <c r="N42">
        <v>1830</v>
      </c>
      <c r="O42">
        <v>1922</v>
      </c>
      <c r="P42">
        <v>1904</v>
      </c>
      <c r="Q42"/>
      <c r="R42">
        <v>1686</v>
      </c>
      <c r="S42">
        <v>1627</v>
      </c>
      <c r="T42">
        <v>1568</v>
      </c>
      <c r="U42">
        <v>1543</v>
      </c>
      <c r="W42">
        <v>1521</v>
      </c>
      <c r="X42">
        <v>2029</v>
      </c>
      <c r="Y42">
        <v>2175</v>
      </c>
      <c r="AA42" s="219">
        <v>0.2</v>
      </c>
      <c r="AB42" s="219">
        <v>0.5</v>
      </c>
      <c r="AC42" s="219">
        <v>0.8</v>
      </c>
      <c r="AD42" s="220">
        <v>1273.5999999999999</v>
      </c>
    </row>
    <row r="43" spans="2:30" x14ac:dyDescent="0.2">
      <c r="B43" s="216">
        <f t="shared" si="0"/>
        <v>40</v>
      </c>
      <c r="C43" s="216">
        <f t="shared" si="1"/>
        <v>0.19230769230769232</v>
      </c>
      <c r="D43">
        <v>2040</v>
      </c>
      <c r="E43">
        <v>1437</v>
      </c>
      <c r="F43">
        <v>1702</v>
      </c>
      <c r="G43">
        <v>1805</v>
      </c>
      <c r="H43"/>
      <c r="I43">
        <v>1840</v>
      </c>
      <c r="J43">
        <v>1793</v>
      </c>
      <c r="K43">
        <v>1750</v>
      </c>
      <c r="L43">
        <v>1804</v>
      </c>
      <c r="M43"/>
      <c r="N43">
        <v>1832</v>
      </c>
      <c r="O43">
        <v>1925</v>
      </c>
      <c r="P43">
        <v>1905</v>
      </c>
      <c r="Q43"/>
      <c r="R43">
        <v>1688</v>
      </c>
      <c r="S43">
        <v>1628</v>
      </c>
      <c r="T43">
        <v>1569</v>
      </c>
      <c r="U43">
        <v>1546</v>
      </c>
      <c r="W43">
        <v>1521</v>
      </c>
      <c r="X43">
        <v>2029</v>
      </c>
      <c r="Y43">
        <v>2175</v>
      </c>
      <c r="AA43" s="219">
        <v>0.2</v>
      </c>
      <c r="AB43" s="219">
        <v>0.5</v>
      </c>
      <c r="AC43" s="219">
        <v>0.8</v>
      </c>
      <c r="AD43" s="216">
        <v>1280.8</v>
      </c>
    </row>
    <row r="44" spans="2:30" x14ac:dyDescent="0.2">
      <c r="B44" s="216">
        <f t="shared" si="0"/>
        <v>41</v>
      </c>
      <c r="C44" s="216">
        <f t="shared" si="1"/>
        <v>0.19711538461538461</v>
      </c>
      <c r="D44">
        <v>2042</v>
      </c>
      <c r="E44">
        <v>1447</v>
      </c>
      <c r="F44">
        <v>1705</v>
      </c>
      <c r="G44">
        <v>1807</v>
      </c>
      <c r="H44"/>
      <c r="I44">
        <v>1849</v>
      </c>
      <c r="J44">
        <v>1800</v>
      </c>
      <c r="K44">
        <v>1752</v>
      </c>
      <c r="L44">
        <v>1808</v>
      </c>
      <c r="M44"/>
      <c r="N44">
        <v>1837</v>
      </c>
      <c r="O44">
        <v>1927</v>
      </c>
      <c r="P44">
        <v>1910</v>
      </c>
      <c r="Q44"/>
      <c r="R44">
        <v>1695</v>
      </c>
      <c r="S44">
        <v>1630</v>
      </c>
      <c r="T44">
        <v>1577</v>
      </c>
      <c r="U44">
        <v>1546</v>
      </c>
      <c r="W44">
        <v>1521</v>
      </c>
      <c r="X44">
        <v>2029</v>
      </c>
      <c r="Y44">
        <v>2175</v>
      </c>
      <c r="AA44" s="219">
        <v>0.2</v>
      </c>
      <c r="AB44" s="219">
        <v>0.5</v>
      </c>
      <c r="AC44" s="219">
        <v>0.8</v>
      </c>
      <c r="AD44" s="220">
        <v>1288</v>
      </c>
    </row>
    <row r="45" spans="2:30" x14ac:dyDescent="0.2">
      <c r="B45" s="216">
        <f t="shared" si="0"/>
        <v>42</v>
      </c>
      <c r="C45" s="216">
        <f t="shared" si="1"/>
        <v>0.20192307692307693</v>
      </c>
      <c r="D45">
        <v>2045</v>
      </c>
      <c r="E45">
        <v>1448</v>
      </c>
      <c r="F45">
        <v>1706</v>
      </c>
      <c r="G45">
        <v>1815</v>
      </c>
      <c r="H45"/>
      <c r="I45">
        <v>1855</v>
      </c>
      <c r="J45">
        <v>1800</v>
      </c>
      <c r="K45">
        <v>1753</v>
      </c>
      <c r="L45">
        <v>1815</v>
      </c>
      <c r="M45"/>
      <c r="N45">
        <v>1857</v>
      </c>
      <c r="O45">
        <v>1927</v>
      </c>
      <c r="P45">
        <v>1917</v>
      </c>
      <c r="Q45"/>
      <c r="R45">
        <v>1695</v>
      </c>
      <c r="S45">
        <v>1633</v>
      </c>
      <c r="T45">
        <v>1579</v>
      </c>
      <c r="U45">
        <v>1547</v>
      </c>
      <c r="W45">
        <v>1521</v>
      </c>
      <c r="X45">
        <v>2029</v>
      </c>
      <c r="Y45">
        <v>2175</v>
      </c>
      <c r="AA45" s="219">
        <v>0.2</v>
      </c>
      <c r="AB45" s="219">
        <v>0.5</v>
      </c>
      <c r="AC45" s="219">
        <v>0.8</v>
      </c>
      <c r="AD45" s="220">
        <v>1295.2</v>
      </c>
    </row>
    <row r="46" spans="2:30" x14ac:dyDescent="0.2">
      <c r="B46" s="216">
        <f t="shared" si="0"/>
        <v>43</v>
      </c>
      <c r="C46" s="216">
        <f t="shared" si="1"/>
        <v>0.20673076923076922</v>
      </c>
      <c r="D46">
        <v>2045</v>
      </c>
      <c r="E46">
        <v>1449</v>
      </c>
      <c r="F46">
        <v>1725</v>
      </c>
      <c r="G46">
        <v>1816</v>
      </c>
      <c r="H46"/>
      <c r="I46">
        <v>1855</v>
      </c>
      <c r="J46">
        <v>1802</v>
      </c>
      <c r="K46">
        <v>1753</v>
      </c>
      <c r="L46">
        <v>1817</v>
      </c>
      <c r="M46"/>
      <c r="N46">
        <v>1864</v>
      </c>
      <c r="O46">
        <v>1929</v>
      </c>
      <c r="P46">
        <v>1917</v>
      </c>
      <c r="Q46"/>
      <c r="R46">
        <v>1700</v>
      </c>
      <c r="S46">
        <v>1638</v>
      </c>
      <c r="T46">
        <v>1579</v>
      </c>
      <c r="U46">
        <v>1549</v>
      </c>
      <c r="W46">
        <v>1521</v>
      </c>
      <c r="X46">
        <v>2029</v>
      </c>
      <c r="Y46">
        <v>2175</v>
      </c>
      <c r="AA46" s="219">
        <v>0.2</v>
      </c>
      <c r="AB46" s="219">
        <v>0.5</v>
      </c>
      <c r="AC46" s="219">
        <v>0.8</v>
      </c>
      <c r="AD46" s="216">
        <v>1302.4000000000001</v>
      </c>
    </row>
    <row r="47" spans="2:30" x14ac:dyDescent="0.2">
      <c r="B47" s="216">
        <f t="shared" si="0"/>
        <v>44</v>
      </c>
      <c r="C47" s="216">
        <f t="shared" si="1"/>
        <v>0.21153846153846154</v>
      </c>
      <c r="D47">
        <v>2046</v>
      </c>
      <c r="E47">
        <v>1450</v>
      </c>
      <c r="F47">
        <v>1727</v>
      </c>
      <c r="G47">
        <v>1822</v>
      </c>
      <c r="H47"/>
      <c r="I47">
        <v>1864</v>
      </c>
      <c r="J47">
        <v>1802</v>
      </c>
      <c r="K47">
        <v>1758</v>
      </c>
      <c r="L47">
        <v>1818</v>
      </c>
      <c r="M47"/>
      <c r="N47">
        <v>1869</v>
      </c>
      <c r="O47">
        <v>1932</v>
      </c>
      <c r="P47">
        <v>1929</v>
      </c>
      <c r="Q47"/>
      <c r="R47">
        <v>1700</v>
      </c>
      <c r="S47">
        <v>1638</v>
      </c>
      <c r="T47">
        <v>1585</v>
      </c>
      <c r="U47">
        <v>1550</v>
      </c>
      <c r="W47">
        <v>1521</v>
      </c>
      <c r="X47">
        <v>2029</v>
      </c>
      <c r="Y47">
        <v>2175</v>
      </c>
      <c r="AA47" s="219">
        <v>0.2</v>
      </c>
      <c r="AB47" s="219">
        <v>0.5</v>
      </c>
      <c r="AC47" s="219">
        <v>0.8</v>
      </c>
      <c r="AD47" s="220">
        <v>1309.5999999999999</v>
      </c>
    </row>
    <row r="48" spans="2:30" x14ac:dyDescent="0.2">
      <c r="B48" s="216">
        <f t="shared" si="0"/>
        <v>45</v>
      </c>
      <c r="C48" s="216">
        <f t="shared" si="1"/>
        <v>0.21634615384615385</v>
      </c>
      <c r="D48">
        <v>2047</v>
      </c>
      <c r="E48">
        <v>1450</v>
      </c>
      <c r="F48">
        <v>1730</v>
      </c>
      <c r="G48">
        <v>1825</v>
      </c>
      <c r="H48"/>
      <c r="I48">
        <v>1871</v>
      </c>
      <c r="J48">
        <v>1804</v>
      </c>
      <c r="K48">
        <v>1760</v>
      </c>
      <c r="L48">
        <v>1818</v>
      </c>
      <c r="M48"/>
      <c r="N48">
        <v>1870</v>
      </c>
      <c r="O48">
        <v>1934</v>
      </c>
      <c r="P48">
        <v>1930</v>
      </c>
      <c r="Q48"/>
      <c r="R48">
        <v>1700</v>
      </c>
      <c r="S48">
        <v>1640</v>
      </c>
      <c r="T48">
        <v>1586</v>
      </c>
      <c r="U48">
        <v>1550</v>
      </c>
      <c r="W48">
        <v>1521</v>
      </c>
      <c r="X48">
        <v>2029</v>
      </c>
      <c r="Y48">
        <v>2175</v>
      </c>
      <c r="AA48" s="219">
        <v>0.2</v>
      </c>
      <c r="AB48" s="219">
        <v>0.5</v>
      </c>
      <c r="AC48" s="219">
        <v>0.8</v>
      </c>
      <c r="AD48" s="220">
        <v>1316.8</v>
      </c>
    </row>
    <row r="49" spans="2:30" x14ac:dyDescent="0.2">
      <c r="B49" s="216">
        <f t="shared" si="0"/>
        <v>46</v>
      </c>
      <c r="C49" s="216">
        <f t="shared" si="1"/>
        <v>0.22115384615384615</v>
      </c>
      <c r="D49">
        <v>2047</v>
      </c>
      <c r="E49">
        <v>1451</v>
      </c>
      <c r="F49">
        <v>1740</v>
      </c>
      <c r="G49">
        <v>1833</v>
      </c>
      <c r="H49"/>
      <c r="I49">
        <v>1881</v>
      </c>
      <c r="J49">
        <v>1807</v>
      </c>
      <c r="K49">
        <v>1760</v>
      </c>
      <c r="L49">
        <v>1824</v>
      </c>
      <c r="M49"/>
      <c r="N49">
        <v>1873</v>
      </c>
      <c r="O49">
        <v>1945</v>
      </c>
      <c r="P49">
        <v>1934</v>
      </c>
      <c r="Q49"/>
      <c r="R49">
        <v>1700</v>
      </c>
      <c r="S49">
        <v>1640</v>
      </c>
      <c r="T49">
        <v>1586</v>
      </c>
      <c r="U49">
        <v>1552</v>
      </c>
      <c r="W49">
        <v>1521</v>
      </c>
      <c r="X49">
        <v>2029</v>
      </c>
      <c r="Y49">
        <v>2175</v>
      </c>
      <c r="AA49" s="219">
        <v>0.2</v>
      </c>
      <c r="AB49" s="219">
        <v>0.5</v>
      </c>
      <c r="AC49" s="219">
        <v>0.8</v>
      </c>
      <c r="AD49" s="216">
        <v>1324</v>
      </c>
    </row>
    <row r="50" spans="2:30" x14ac:dyDescent="0.2">
      <c r="B50" s="216">
        <f t="shared" si="0"/>
        <v>47</v>
      </c>
      <c r="C50" s="216">
        <f t="shared" si="1"/>
        <v>0.22596153846153846</v>
      </c>
      <c r="D50">
        <v>2048</v>
      </c>
      <c r="E50">
        <v>1451</v>
      </c>
      <c r="F50">
        <v>1745</v>
      </c>
      <c r="G50">
        <v>1839</v>
      </c>
      <c r="H50"/>
      <c r="I50">
        <v>1887</v>
      </c>
      <c r="J50">
        <v>1810</v>
      </c>
      <c r="K50">
        <v>1762</v>
      </c>
      <c r="L50">
        <v>1828</v>
      </c>
      <c r="M50"/>
      <c r="N50">
        <v>1877</v>
      </c>
      <c r="O50">
        <v>1947</v>
      </c>
      <c r="P50">
        <v>1939</v>
      </c>
      <c r="Q50"/>
      <c r="R50">
        <v>1702</v>
      </c>
      <c r="S50">
        <v>1647</v>
      </c>
      <c r="T50">
        <v>1588</v>
      </c>
      <c r="U50">
        <v>1553</v>
      </c>
      <c r="W50">
        <v>1521</v>
      </c>
      <c r="X50">
        <v>2029</v>
      </c>
      <c r="Y50">
        <v>2175</v>
      </c>
      <c r="AA50" s="219">
        <v>0.2</v>
      </c>
      <c r="AB50" s="219">
        <v>0.5</v>
      </c>
      <c r="AC50" s="219">
        <v>0.8</v>
      </c>
      <c r="AD50" s="220">
        <v>1331.2</v>
      </c>
    </row>
    <row r="51" spans="2:30" x14ac:dyDescent="0.2">
      <c r="B51" s="216">
        <f t="shared" si="0"/>
        <v>48</v>
      </c>
      <c r="C51" s="216">
        <f t="shared" si="1"/>
        <v>0.23076923076923078</v>
      </c>
      <c r="D51">
        <v>2049</v>
      </c>
      <c r="E51">
        <v>1452</v>
      </c>
      <c r="F51">
        <v>1745</v>
      </c>
      <c r="G51">
        <v>1847</v>
      </c>
      <c r="H51"/>
      <c r="I51">
        <v>1887</v>
      </c>
      <c r="J51">
        <v>1817</v>
      </c>
      <c r="K51">
        <v>1765</v>
      </c>
      <c r="L51">
        <v>1837</v>
      </c>
      <c r="M51"/>
      <c r="N51">
        <v>1879</v>
      </c>
      <c r="O51">
        <v>1947</v>
      </c>
      <c r="P51">
        <v>1940</v>
      </c>
      <c r="Q51"/>
      <c r="R51">
        <v>1703</v>
      </c>
      <c r="S51">
        <v>1655</v>
      </c>
      <c r="T51">
        <v>1591</v>
      </c>
      <c r="U51">
        <v>1556</v>
      </c>
      <c r="W51">
        <v>1521</v>
      </c>
      <c r="X51">
        <v>2029</v>
      </c>
      <c r="Y51">
        <v>2175</v>
      </c>
      <c r="AA51" s="219">
        <v>0.2</v>
      </c>
      <c r="AB51" s="219">
        <v>0.5</v>
      </c>
      <c r="AC51" s="219">
        <v>0.8</v>
      </c>
      <c r="AD51" s="220">
        <v>1338.4</v>
      </c>
    </row>
    <row r="52" spans="2:30" x14ac:dyDescent="0.2">
      <c r="B52" s="216">
        <f t="shared" si="0"/>
        <v>49</v>
      </c>
      <c r="C52" s="216">
        <f t="shared" si="1"/>
        <v>0.23557692307692307</v>
      </c>
      <c r="D52">
        <v>2049</v>
      </c>
      <c r="E52">
        <v>1452</v>
      </c>
      <c r="F52">
        <v>1748</v>
      </c>
      <c r="G52">
        <v>1847</v>
      </c>
      <c r="H52"/>
      <c r="I52">
        <v>1891</v>
      </c>
      <c r="J52">
        <v>1818</v>
      </c>
      <c r="K52">
        <v>1765</v>
      </c>
      <c r="L52">
        <v>1845</v>
      </c>
      <c r="M52"/>
      <c r="N52">
        <v>1880</v>
      </c>
      <c r="O52">
        <v>1948</v>
      </c>
      <c r="P52">
        <v>1941</v>
      </c>
      <c r="Q52"/>
      <c r="R52">
        <v>1703</v>
      </c>
      <c r="S52">
        <v>1657</v>
      </c>
      <c r="T52">
        <v>1595</v>
      </c>
      <c r="U52">
        <v>1556</v>
      </c>
      <c r="W52">
        <v>1521</v>
      </c>
      <c r="X52">
        <v>2029</v>
      </c>
      <c r="Y52">
        <v>2175</v>
      </c>
      <c r="AA52" s="219">
        <v>0.2</v>
      </c>
      <c r="AB52" s="219">
        <v>0.5</v>
      </c>
      <c r="AC52" s="219">
        <v>0.8</v>
      </c>
      <c r="AD52" s="216">
        <v>1345.6</v>
      </c>
    </row>
    <row r="53" spans="2:30" x14ac:dyDescent="0.2">
      <c r="B53" s="216">
        <f t="shared" si="0"/>
        <v>50</v>
      </c>
      <c r="C53" s="216">
        <f t="shared" si="1"/>
        <v>0.24038461538461539</v>
      </c>
      <c r="D53">
        <v>2049</v>
      </c>
      <c r="E53">
        <v>1453</v>
      </c>
      <c r="F53">
        <v>1748</v>
      </c>
      <c r="G53">
        <v>1850</v>
      </c>
      <c r="H53"/>
      <c r="I53">
        <v>1891</v>
      </c>
      <c r="J53">
        <v>1818</v>
      </c>
      <c r="K53">
        <v>1767</v>
      </c>
      <c r="L53">
        <v>1848</v>
      </c>
      <c r="M53"/>
      <c r="N53">
        <v>1885</v>
      </c>
      <c r="O53">
        <v>1948</v>
      </c>
      <c r="P53">
        <v>1949</v>
      </c>
      <c r="Q53"/>
      <c r="R53">
        <v>1703</v>
      </c>
      <c r="S53">
        <v>1660</v>
      </c>
      <c r="T53">
        <v>1596</v>
      </c>
      <c r="U53">
        <v>1558</v>
      </c>
      <c r="W53">
        <v>1521</v>
      </c>
      <c r="X53">
        <v>2029</v>
      </c>
      <c r="Y53">
        <v>2175</v>
      </c>
      <c r="AA53" s="219">
        <v>0.2</v>
      </c>
      <c r="AB53" s="219">
        <v>0.5</v>
      </c>
      <c r="AC53" s="219">
        <v>0.8</v>
      </c>
      <c r="AD53" s="220">
        <v>1352.8</v>
      </c>
    </row>
    <row r="54" spans="2:30" x14ac:dyDescent="0.2">
      <c r="B54" s="216">
        <f t="shared" si="0"/>
        <v>51</v>
      </c>
      <c r="C54" s="216">
        <f t="shared" si="1"/>
        <v>0.24519230769230768</v>
      </c>
      <c r="D54">
        <v>2050</v>
      </c>
      <c r="E54">
        <v>1454</v>
      </c>
      <c r="F54">
        <v>1748</v>
      </c>
      <c r="G54">
        <v>1850</v>
      </c>
      <c r="H54"/>
      <c r="I54">
        <v>1893</v>
      </c>
      <c r="J54">
        <v>1824</v>
      </c>
      <c r="K54">
        <v>1772</v>
      </c>
      <c r="L54">
        <v>1852</v>
      </c>
      <c r="M54"/>
      <c r="N54">
        <v>1887</v>
      </c>
      <c r="O54">
        <v>1953</v>
      </c>
      <c r="P54">
        <v>1950</v>
      </c>
      <c r="Q54"/>
      <c r="R54">
        <v>1713</v>
      </c>
      <c r="S54">
        <v>1660</v>
      </c>
      <c r="T54">
        <v>1597</v>
      </c>
      <c r="U54">
        <v>1560</v>
      </c>
      <c r="W54">
        <v>1521</v>
      </c>
      <c r="X54">
        <v>2029</v>
      </c>
      <c r="Y54">
        <v>2175</v>
      </c>
      <c r="AA54" s="219">
        <v>0.2</v>
      </c>
      <c r="AB54" s="219">
        <v>0.5</v>
      </c>
      <c r="AC54" s="219">
        <v>0.8</v>
      </c>
      <c r="AD54" s="220">
        <v>1360</v>
      </c>
    </row>
    <row r="55" spans="2:30" x14ac:dyDescent="0.2">
      <c r="B55" s="216">
        <f t="shared" si="0"/>
        <v>52</v>
      </c>
      <c r="C55" s="216">
        <f t="shared" si="1"/>
        <v>0.25</v>
      </c>
      <c r="D55">
        <v>2050</v>
      </c>
      <c r="E55">
        <v>1454</v>
      </c>
      <c r="F55">
        <v>1750</v>
      </c>
      <c r="G55">
        <v>1860</v>
      </c>
      <c r="H55"/>
      <c r="I55">
        <v>1893</v>
      </c>
      <c r="J55">
        <v>1824</v>
      </c>
      <c r="K55">
        <v>1773</v>
      </c>
      <c r="L55">
        <v>1859</v>
      </c>
      <c r="M55"/>
      <c r="N55">
        <v>1887</v>
      </c>
      <c r="O55">
        <v>1955</v>
      </c>
      <c r="P55">
        <v>1950</v>
      </c>
      <c r="Q55"/>
      <c r="R55">
        <v>1717</v>
      </c>
      <c r="S55">
        <v>1661</v>
      </c>
      <c r="T55">
        <v>1597</v>
      </c>
      <c r="U55">
        <v>1561</v>
      </c>
      <c r="W55">
        <v>1521</v>
      </c>
      <c r="X55">
        <v>2029</v>
      </c>
      <c r="Y55">
        <v>2175</v>
      </c>
      <c r="AA55" s="219">
        <v>0.2</v>
      </c>
      <c r="AB55" s="219">
        <v>0.5</v>
      </c>
      <c r="AC55" s="219">
        <v>0.8</v>
      </c>
      <c r="AD55" s="216">
        <v>1367.2</v>
      </c>
    </row>
    <row r="56" spans="2:30" x14ac:dyDescent="0.2">
      <c r="B56" s="216">
        <f t="shared" si="0"/>
        <v>53</v>
      </c>
      <c r="C56" s="216">
        <f t="shared" si="1"/>
        <v>0.25480769230769229</v>
      </c>
      <c r="D56">
        <v>2051</v>
      </c>
      <c r="E56">
        <v>1458</v>
      </c>
      <c r="F56">
        <v>1750</v>
      </c>
      <c r="G56">
        <v>1864</v>
      </c>
      <c r="H56"/>
      <c r="I56">
        <v>1897</v>
      </c>
      <c r="J56">
        <v>1825</v>
      </c>
      <c r="K56">
        <v>1780</v>
      </c>
      <c r="L56">
        <v>1860</v>
      </c>
      <c r="M56"/>
      <c r="N56">
        <v>1897</v>
      </c>
      <c r="O56">
        <v>1955</v>
      </c>
      <c r="P56">
        <v>1954</v>
      </c>
      <c r="Q56"/>
      <c r="R56">
        <v>1718</v>
      </c>
      <c r="S56">
        <v>1670</v>
      </c>
      <c r="T56">
        <v>1597</v>
      </c>
      <c r="U56">
        <v>1563</v>
      </c>
      <c r="W56">
        <v>1521</v>
      </c>
      <c r="X56">
        <v>2029</v>
      </c>
      <c r="Y56">
        <v>2175</v>
      </c>
      <c r="AA56" s="219">
        <v>0.2</v>
      </c>
      <c r="AB56" s="219">
        <v>0.5</v>
      </c>
      <c r="AC56" s="219">
        <v>0.8</v>
      </c>
      <c r="AD56" s="220">
        <v>1374.4</v>
      </c>
    </row>
    <row r="57" spans="2:30" x14ac:dyDescent="0.2">
      <c r="B57" s="216">
        <f t="shared" si="0"/>
        <v>54</v>
      </c>
      <c r="C57" s="216">
        <f t="shared" si="1"/>
        <v>0.25961538461538464</v>
      </c>
      <c r="D57">
        <v>2051</v>
      </c>
      <c r="E57">
        <v>1459</v>
      </c>
      <c r="F57">
        <v>1760</v>
      </c>
      <c r="G57">
        <v>1872</v>
      </c>
      <c r="H57"/>
      <c r="I57">
        <v>1900</v>
      </c>
      <c r="J57">
        <v>1830</v>
      </c>
      <c r="K57">
        <v>1790</v>
      </c>
      <c r="L57">
        <v>1867</v>
      </c>
      <c r="M57"/>
      <c r="N57">
        <v>1897</v>
      </c>
      <c r="O57">
        <v>1958</v>
      </c>
      <c r="P57">
        <v>1961</v>
      </c>
      <c r="Q57"/>
      <c r="R57">
        <v>1718</v>
      </c>
      <c r="S57">
        <v>1673</v>
      </c>
      <c r="T57">
        <v>1598</v>
      </c>
      <c r="U57">
        <v>1575</v>
      </c>
      <c r="W57">
        <v>1521</v>
      </c>
      <c r="X57">
        <v>2029</v>
      </c>
      <c r="Y57">
        <v>2175</v>
      </c>
      <c r="AA57" s="219">
        <v>0.2</v>
      </c>
      <c r="AB57" s="219">
        <v>0.5</v>
      </c>
      <c r="AC57" s="219">
        <v>0.8</v>
      </c>
      <c r="AD57" s="220">
        <v>1381.6</v>
      </c>
    </row>
    <row r="58" spans="2:30" x14ac:dyDescent="0.2">
      <c r="B58" s="216">
        <f t="shared" si="0"/>
        <v>55</v>
      </c>
      <c r="C58" s="216">
        <f t="shared" si="1"/>
        <v>0.26442307692307693</v>
      </c>
      <c r="D58">
        <v>2051</v>
      </c>
      <c r="E58">
        <v>1468</v>
      </c>
      <c r="F58">
        <v>1760</v>
      </c>
      <c r="G58">
        <v>1875</v>
      </c>
      <c r="H58"/>
      <c r="I58">
        <v>1900</v>
      </c>
      <c r="J58">
        <v>1830</v>
      </c>
      <c r="K58">
        <v>1798</v>
      </c>
      <c r="L58">
        <v>1867</v>
      </c>
      <c r="M58"/>
      <c r="N58">
        <v>1899</v>
      </c>
      <c r="O58">
        <v>1958</v>
      </c>
      <c r="P58">
        <v>1961</v>
      </c>
      <c r="Q58"/>
      <c r="R58">
        <v>1718</v>
      </c>
      <c r="S58">
        <v>1676</v>
      </c>
      <c r="T58">
        <v>1599</v>
      </c>
      <c r="U58">
        <v>1576</v>
      </c>
      <c r="W58">
        <v>1521</v>
      </c>
      <c r="X58">
        <v>2029</v>
      </c>
      <c r="Y58">
        <v>2175</v>
      </c>
      <c r="AA58" s="219">
        <v>0.2</v>
      </c>
      <c r="AB58" s="219">
        <v>0.5</v>
      </c>
      <c r="AC58" s="219">
        <v>0.8</v>
      </c>
      <c r="AD58" s="216">
        <v>1388.8</v>
      </c>
    </row>
    <row r="59" spans="2:30" x14ac:dyDescent="0.2">
      <c r="B59" s="216">
        <f t="shared" si="0"/>
        <v>56</v>
      </c>
      <c r="C59" s="216">
        <f t="shared" si="1"/>
        <v>0.26923076923076922</v>
      </c>
      <c r="D59">
        <v>2052</v>
      </c>
      <c r="E59">
        <v>1478</v>
      </c>
      <c r="F59">
        <v>1763</v>
      </c>
      <c r="G59">
        <v>1884</v>
      </c>
      <c r="H59"/>
      <c r="I59">
        <v>1902</v>
      </c>
      <c r="J59">
        <v>1845</v>
      </c>
      <c r="K59">
        <v>1804</v>
      </c>
      <c r="L59">
        <v>1867</v>
      </c>
      <c r="M59"/>
      <c r="N59">
        <v>1899</v>
      </c>
      <c r="O59">
        <v>1959</v>
      </c>
      <c r="P59">
        <v>1962</v>
      </c>
      <c r="Q59"/>
      <c r="R59">
        <v>1719</v>
      </c>
      <c r="S59">
        <v>1682</v>
      </c>
      <c r="T59">
        <v>1600</v>
      </c>
      <c r="U59">
        <v>1577</v>
      </c>
      <c r="W59">
        <v>1521</v>
      </c>
      <c r="X59">
        <v>2029</v>
      </c>
      <c r="Y59">
        <v>2175</v>
      </c>
      <c r="AA59" s="219">
        <v>0.2</v>
      </c>
      <c r="AB59" s="219">
        <v>0.5</v>
      </c>
      <c r="AC59" s="219">
        <v>0.8</v>
      </c>
      <c r="AD59" s="220">
        <v>1396</v>
      </c>
    </row>
    <row r="60" spans="2:30" x14ac:dyDescent="0.2">
      <c r="B60" s="216">
        <f t="shared" si="0"/>
        <v>57</v>
      </c>
      <c r="C60" s="216">
        <f t="shared" si="1"/>
        <v>0.27403846153846156</v>
      </c>
      <c r="D60">
        <v>2052</v>
      </c>
      <c r="E60">
        <v>1479</v>
      </c>
      <c r="F60">
        <v>1767</v>
      </c>
      <c r="G60">
        <v>1887</v>
      </c>
      <c r="H60"/>
      <c r="I60">
        <v>1902</v>
      </c>
      <c r="J60">
        <v>1845</v>
      </c>
      <c r="K60">
        <v>1807</v>
      </c>
      <c r="L60">
        <v>1870</v>
      </c>
      <c r="M60"/>
      <c r="N60">
        <v>1899</v>
      </c>
      <c r="O60">
        <v>1959</v>
      </c>
      <c r="P60">
        <v>1964</v>
      </c>
      <c r="Q60"/>
      <c r="R60">
        <v>1720</v>
      </c>
      <c r="S60">
        <v>1688</v>
      </c>
      <c r="T60">
        <v>1600</v>
      </c>
      <c r="U60">
        <v>1581</v>
      </c>
      <c r="W60">
        <v>1521</v>
      </c>
      <c r="X60">
        <v>2029</v>
      </c>
      <c r="Y60">
        <v>2175</v>
      </c>
      <c r="AA60" s="219">
        <v>0.2</v>
      </c>
      <c r="AB60" s="219">
        <v>0.5</v>
      </c>
      <c r="AC60" s="219">
        <v>0.8</v>
      </c>
      <c r="AD60" s="220">
        <v>1403.2</v>
      </c>
    </row>
    <row r="61" spans="2:30" x14ac:dyDescent="0.2">
      <c r="B61" s="216">
        <f t="shared" si="0"/>
        <v>58</v>
      </c>
      <c r="C61" s="216">
        <f t="shared" si="1"/>
        <v>0.27884615384615385</v>
      </c>
      <c r="D61">
        <v>2055</v>
      </c>
      <c r="E61">
        <v>1480</v>
      </c>
      <c r="F61">
        <v>1768</v>
      </c>
      <c r="G61">
        <v>1892</v>
      </c>
      <c r="H61"/>
      <c r="I61">
        <v>1902</v>
      </c>
      <c r="J61">
        <v>1847</v>
      </c>
      <c r="K61">
        <v>1810</v>
      </c>
      <c r="L61">
        <v>1872</v>
      </c>
      <c r="M61"/>
      <c r="N61">
        <v>1900</v>
      </c>
      <c r="O61">
        <v>1961</v>
      </c>
      <c r="P61">
        <v>1967</v>
      </c>
      <c r="Q61"/>
      <c r="R61">
        <v>1728</v>
      </c>
      <c r="S61">
        <v>1692</v>
      </c>
      <c r="T61">
        <v>1601</v>
      </c>
      <c r="U61">
        <v>1583</v>
      </c>
      <c r="W61">
        <v>1521</v>
      </c>
      <c r="X61">
        <v>2029</v>
      </c>
      <c r="Y61">
        <v>2175</v>
      </c>
      <c r="AA61" s="219">
        <v>0.2</v>
      </c>
      <c r="AB61" s="219">
        <v>0.5</v>
      </c>
      <c r="AC61" s="219">
        <v>0.8</v>
      </c>
      <c r="AD61" s="216">
        <v>1410.4</v>
      </c>
    </row>
    <row r="62" spans="2:30" x14ac:dyDescent="0.2">
      <c r="B62" s="216">
        <f t="shared" si="0"/>
        <v>59</v>
      </c>
      <c r="C62" s="216">
        <f t="shared" si="1"/>
        <v>0.28365384615384615</v>
      </c>
      <c r="D62">
        <v>2055</v>
      </c>
      <c r="E62">
        <v>1485</v>
      </c>
      <c r="F62">
        <v>1768</v>
      </c>
      <c r="G62">
        <v>1897</v>
      </c>
      <c r="H62"/>
      <c r="I62">
        <v>1905</v>
      </c>
      <c r="J62">
        <v>1849</v>
      </c>
      <c r="K62">
        <v>1812</v>
      </c>
      <c r="L62">
        <v>1873</v>
      </c>
      <c r="M62"/>
      <c r="N62">
        <v>1900</v>
      </c>
      <c r="O62">
        <v>1964</v>
      </c>
      <c r="P62">
        <v>1968</v>
      </c>
      <c r="Q62"/>
      <c r="R62">
        <v>1738</v>
      </c>
      <c r="S62">
        <v>1693</v>
      </c>
      <c r="T62">
        <v>1601</v>
      </c>
      <c r="U62">
        <v>1583</v>
      </c>
      <c r="W62">
        <v>1521</v>
      </c>
      <c r="X62">
        <v>2029</v>
      </c>
      <c r="Y62">
        <v>2175</v>
      </c>
      <c r="AA62" s="219">
        <v>0.2</v>
      </c>
      <c r="AB62" s="219">
        <v>0.5</v>
      </c>
      <c r="AC62" s="219">
        <v>0.8</v>
      </c>
      <c r="AD62" s="220">
        <v>1417.6</v>
      </c>
    </row>
    <row r="63" spans="2:30" x14ac:dyDescent="0.2">
      <c r="B63" s="216">
        <f t="shared" si="0"/>
        <v>60</v>
      </c>
      <c r="C63" s="216">
        <f t="shared" si="1"/>
        <v>0.28846153846153844</v>
      </c>
      <c r="D63">
        <v>2055</v>
      </c>
      <c r="E63">
        <v>1485</v>
      </c>
      <c r="F63">
        <v>1785</v>
      </c>
      <c r="G63">
        <v>1900</v>
      </c>
      <c r="H63"/>
      <c r="I63">
        <v>1912</v>
      </c>
      <c r="J63">
        <v>1852</v>
      </c>
      <c r="K63">
        <v>1825</v>
      </c>
      <c r="L63">
        <v>1873</v>
      </c>
      <c r="M63"/>
      <c r="N63">
        <v>1901</v>
      </c>
      <c r="O63">
        <v>1968</v>
      </c>
      <c r="P63">
        <v>1971</v>
      </c>
      <c r="Q63"/>
      <c r="R63">
        <v>1740</v>
      </c>
      <c r="S63">
        <v>1693</v>
      </c>
      <c r="T63">
        <v>1601</v>
      </c>
      <c r="U63">
        <v>1585</v>
      </c>
      <c r="W63">
        <v>1521</v>
      </c>
      <c r="X63">
        <v>2029</v>
      </c>
      <c r="Y63">
        <v>2175</v>
      </c>
      <c r="AA63" s="219">
        <v>0.2</v>
      </c>
      <c r="AB63" s="219">
        <v>0.5</v>
      </c>
      <c r="AC63" s="219">
        <v>0.8</v>
      </c>
      <c r="AD63" s="220">
        <v>1424.8</v>
      </c>
    </row>
    <row r="64" spans="2:30" x14ac:dyDescent="0.2">
      <c r="B64" s="216">
        <f t="shared" si="0"/>
        <v>61</v>
      </c>
      <c r="C64" s="216">
        <f t="shared" si="1"/>
        <v>0.29326923076923078</v>
      </c>
      <c r="D64">
        <v>2056</v>
      </c>
      <c r="E64">
        <v>1496</v>
      </c>
      <c r="F64">
        <v>1793</v>
      </c>
      <c r="G64">
        <v>1900</v>
      </c>
      <c r="H64"/>
      <c r="I64">
        <v>1915</v>
      </c>
      <c r="J64">
        <v>1854</v>
      </c>
      <c r="K64">
        <v>1827</v>
      </c>
      <c r="L64">
        <v>1879</v>
      </c>
      <c r="M64"/>
      <c r="N64">
        <v>1902</v>
      </c>
      <c r="O64">
        <v>1970</v>
      </c>
      <c r="P64">
        <v>1973</v>
      </c>
      <c r="Q64"/>
      <c r="R64">
        <v>1747</v>
      </c>
      <c r="S64">
        <v>1700</v>
      </c>
      <c r="T64">
        <v>1603</v>
      </c>
      <c r="U64">
        <v>1586</v>
      </c>
      <c r="W64">
        <v>1521</v>
      </c>
      <c r="X64">
        <v>2029</v>
      </c>
      <c r="Y64">
        <v>2175</v>
      </c>
      <c r="AA64" s="219">
        <v>0.2</v>
      </c>
      <c r="AB64" s="219">
        <v>0.5</v>
      </c>
      <c r="AC64" s="219">
        <v>0.8</v>
      </c>
      <c r="AD64" s="216">
        <v>1432</v>
      </c>
    </row>
    <row r="65" spans="2:30" x14ac:dyDescent="0.2">
      <c r="B65" s="216">
        <f t="shared" si="0"/>
        <v>62</v>
      </c>
      <c r="C65" s="216">
        <f t="shared" si="1"/>
        <v>0.29807692307692307</v>
      </c>
      <c r="D65">
        <v>2056</v>
      </c>
      <c r="E65">
        <v>1500</v>
      </c>
      <c r="F65">
        <v>1795</v>
      </c>
      <c r="G65">
        <v>1900</v>
      </c>
      <c r="H65"/>
      <c r="I65">
        <v>1915</v>
      </c>
      <c r="J65">
        <v>1857</v>
      </c>
      <c r="K65">
        <v>1833</v>
      </c>
      <c r="L65">
        <v>1889</v>
      </c>
      <c r="M65"/>
      <c r="N65">
        <v>1904</v>
      </c>
      <c r="O65">
        <v>1970</v>
      </c>
      <c r="P65">
        <v>1976</v>
      </c>
      <c r="Q65"/>
      <c r="R65">
        <v>1747</v>
      </c>
      <c r="S65">
        <v>1703</v>
      </c>
      <c r="T65">
        <v>1605</v>
      </c>
      <c r="U65">
        <v>1590</v>
      </c>
      <c r="W65">
        <v>1521</v>
      </c>
      <c r="X65">
        <v>2029</v>
      </c>
      <c r="Y65">
        <v>2175</v>
      </c>
      <c r="AA65" s="219">
        <v>0.2</v>
      </c>
      <c r="AB65" s="219">
        <v>0.5</v>
      </c>
      <c r="AC65" s="219">
        <v>0.8</v>
      </c>
      <c r="AD65" s="220">
        <v>1439.2</v>
      </c>
    </row>
    <row r="66" spans="2:30" x14ac:dyDescent="0.2">
      <c r="B66" s="216">
        <f t="shared" si="0"/>
        <v>63</v>
      </c>
      <c r="C66" s="216">
        <f t="shared" si="1"/>
        <v>0.30288461538461536</v>
      </c>
      <c r="D66">
        <v>2057</v>
      </c>
      <c r="E66">
        <v>1501</v>
      </c>
      <c r="F66">
        <v>1800</v>
      </c>
      <c r="G66">
        <v>1901</v>
      </c>
      <c r="H66"/>
      <c r="I66">
        <v>1919</v>
      </c>
      <c r="J66">
        <v>1859</v>
      </c>
      <c r="K66">
        <v>1842</v>
      </c>
      <c r="L66">
        <v>1894</v>
      </c>
      <c r="M66"/>
      <c r="N66">
        <v>1904</v>
      </c>
      <c r="O66">
        <v>1973</v>
      </c>
      <c r="P66">
        <v>1977</v>
      </c>
      <c r="Q66"/>
      <c r="R66">
        <v>1747</v>
      </c>
      <c r="S66">
        <v>1703</v>
      </c>
      <c r="T66">
        <v>1606</v>
      </c>
      <c r="U66">
        <v>1590</v>
      </c>
      <c r="W66">
        <v>1521</v>
      </c>
      <c r="X66">
        <v>2029</v>
      </c>
      <c r="Y66">
        <v>2175</v>
      </c>
      <c r="AA66" s="219">
        <v>0.2</v>
      </c>
      <c r="AB66" s="219">
        <v>0.5</v>
      </c>
      <c r="AC66" s="219">
        <v>0.8</v>
      </c>
      <c r="AD66" s="220">
        <v>1446.4</v>
      </c>
    </row>
    <row r="67" spans="2:30" x14ac:dyDescent="0.2">
      <c r="B67" s="216">
        <f t="shared" si="0"/>
        <v>64</v>
      </c>
      <c r="C67" s="216">
        <f t="shared" si="1"/>
        <v>0.30769230769230771</v>
      </c>
      <c r="D67">
        <v>2057</v>
      </c>
      <c r="E67">
        <v>1501</v>
      </c>
      <c r="F67">
        <v>1800</v>
      </c>
      <c r="G67">
        <v>1902</v>
      </c>
      <c r="H67"/>
      <c r="I67">
        <v>1921</v>
      </c>
      <c r="J67">
        <v>1860</v>
      </c>
      <c r="K67">
        <v>1842</v>
      </c>
      <c r="L67">
        <v>1895</v>
      </c>
      <c r="M67"/>
      <c r="N67">
        <v>1904</v>
      </c>
      <c r="O67">
        <v>1973</v>
      </c>
      <c r="P67">
        <v>1978</v>
      </c>
      <c r="Q67"/>
      <c r="R67">
        <v>1748</v>
      </c>
      <c r="S67">
        <v>1705</v>
      </c>
      <c r="T67">
        <v>1606</v>
      </c>
      <c r="U67">
        <v>1591</v>
      </c>
      <c r="W67">
        <v>1521</v>
      </c>
      <c r="X67">
        <v>2029</v>
      </c>
      <c r="Y67">
        <v>2175</v>
      </c>
      <c r="AA67" s="219">
        <v>0.2</v>
      </c>
      <c r="AB67" s="219">
        <v>0.5</v>
      </c>
      <c r="AC67" s="219">
        <v>0.8</v>
      </c>
      <c r="AD67" s="216">
        <v>1453.6</v>
      </c>
    </row>
    <row r="68" spans="2:30" x14ac:dyDescent="0.2">
      <c r="B68" s="216">
        <f t="shared" si="0"/>
        <v>65</v>
      </c>
      <c r="C68" s="216">
        <f t="shared" si="1"/>
        <v>0.3125</v>
      </c>
      <c r="D68">
        <v>2058</v>
      </c>
      <c r="E68">
        <v>1503</v>
      </c>
      <c r="F68">
        <v>1800</v>
      </c>
      <c r="G68">
        <v>1902</v>
      </c>
      <c r="H68"/>
      <c r="I68">
        <v>1925</v>
      </c>
      <c r="J68">
        <v>1862</v>
      </c>
      <c r="K68">
        <v>1850</v>
      </c>
      <c r="L68">
        <v>1895</v>
      </c>
      <c r="M68"/>
      <c r="N68">
        <v>1911</v>
      </c>
      <c r="O68">
        <v>1976</v>
      </c>
      <c r="P68">
        <v>1981</v>
      </c>
      <c r="Q68"/>
      <c r="R68">
        <v>1750</v>
      </c>
      <c r="S68">
        <v>1706</v>
      </c>
      <c r="T68">
        <v>1607</v>
      </c>
      <c r="U68">
        <v>1593</v>
      </c>
      <c r="W68">
        <v>1521</v>
      </c>
      <c r="X68">
        <v>2029</v>
      </c>
      <c r="Y68">
        <v>2175</v>
      </c>
      <c r="AA68" s="219">
        <v>0.2</v>
      </c>
      <c r="AB68" s="219">
        <v>0.5</v>
      </c>
      <c r="AC68" s="219">
        <v>0.8</v>
      </c>
      <c r="AD68" s="220">
        <v>1460.8</v>
      </c>
    </row>
    <row r="69" spans="2:30" x14ac:dyDescent="0.2">
      <c r="B69" s="216">
        <f t="shared" si="0"/>
        <v>66</v>
      </c>
      <c r="C69" s="216">
        <f t="shared" si="1"/>
        <v>0.31730769230769229</v>
      </c>
      <c r="D69">
        <v>2058</v>
      </c>
      <c r="E69">
        <v>1503</v>
      </c>
      <c r="F69">
        <v>1800</v>
      </c>
      <c r="G69">
        <v>1903</v>
      </c>
      <c r="H69"/>
      <c r="I69">
        <v>1931</v>
      </c>
      <c r="J69">
        <v>1862</v>
      </c>
      <c r="K69">
        <v>1855</v>
      </c>
      <c r="L69">
        <v>1895</v>
      </c>
      <c r="M69"/>
      <c r="N69">
        <v>1914</v>
      </c>
      <c r="O69">
        <v>1979</v>
      </c>
      <c r="P69">
        <v>1981</v>
      </c>
      <c r="Q69"/>
      <c r="R69">
        <v>1752</v>
      </c>
      <c r="S69">
        <v>1710</v>
      </c>
      <c r="T69">
        <v>1607</v>
      </c>
      <c r="U69">
        <v>1593</v>
      </c>
      <c r="W69">
        <v>1521</v>
      </c>
      <c r="X69">
        <v>2029</v>
      </c>
      <c r="Y69">
        <v>2175</v>
      </c>
      <c r="AA69" s="219">
        <v>0.2</v>
      </c>
      <c r="AB69" s="219">
        <v>0.5</v>
      </c>
      <c r="AC69" s="219">
        <v>0.8</v>
      </c>
      <c r="AD69" s="220">
        <v>1468</v>
      </c>
    </row>
    <row r="70" spans="2:30" x14ac:dyDescent="0.2">
      <c r="B70" s="216">
        <f t="shared" ref="B70:B133" si="2">B69+1</f>
        <v>67</v>
      </c>
      <c r="C70" s="216">
        <f t="shared" si="1"/>
        <v>0.32211538461538464</v>
      </c>
      <c r="D70">
        <v>2058</v>
      </c>
      <c r="E70">
        <v>1510</v>
      </c>
      <c r="F70">
        <v>1802</v>
      </c>
      <c r="G70">
        <v>1907</v>
      </c>
      <c r="H70"/>
      <c r="I70">
        <v>1935</v>
      </c>
      <c r="J70">
        <v>1870</v>
      </c>
      <c r="K70">
        <v>1864</v>
      </c>
      <c r="L70">
        <v>1900</v>
      </c>
      <c r="M70"/>
      <c r="N70">
        <v>1914</v>
      </c>
      <c r="O70">
        <v>1982</v>
      </c>
      <c r="P70">
        <v>1988</v>
      </c>
      <c r="Q70"/>
      <c r="R70">
        <v>1752</v>
      </c>
      <c r="S70">
        <v>1710</v>
      </c>
      <c r="T70">
        <v>1608</v>
      </c>
      <c r="U70">
        <v>1596</v>
      </c>
      <c r="W70">
        <v>1521</v>
      </c>
      <c r="X70">
        <v>2029</v>
      </c>
      <c r="Y70">
        <v>2175</v>
      </c>
      <c r="AA70" s="219">
        <v>0.2</v>
      </c>
      <c r="AB70" s="219">
        <v>0.5</v>
      </c>
      <c r="AC70" s="219">
        <v>0.8</v>
      </c>
      <c r="AD70" s="216">
        <v>1475.2</v>
      </c>
    </row>
    <row r="71" spans="2:30" x14ac:dyDescent="0.2">
      <c r="B71" s="216">
        <f t="shared" si="2"/>
        <v>68</v>
      </c>
      <c r="C71" s="216">
        <f t="shared" ref="C71:C134" si="3">B71/$B$211</f>
        <v>0.32692307692307693</v>
      </c>
      <c r="D71">
        <v>2059</v>
      </c>
      <c r="E71">
        <v>1521</v>
      </c>
      <c r="F71">
        <v>1803</v>
      </c>
      <c r="G71">
        <v>1911</v>
      </c>
      <c r="H71"/>
      <c r="I71">
        <v>1935</v>
      </c>
      <c r="J71">
        <v>1871</v>
      </c>
      <c r="K71">
        <v>1873</v>
      </c>
      <c r="L71">
        <v>1900</v>
      </c>
      <c r="M71"/>
      <c r="N71">
        <v>1917</v>
      </c>
      <c r="O71">
        <v>1983</v>
      </c>
      <c r="P71">
        <v>1989</v>
      </c>
      <c r="Q71"/>
      <c r="R71">
        <v>1752</v>
      </c>
      <c r="S71">
        <v>1729</v>
      </c>
      <c r="T71">
        <v>1609</v>
      </c>
      <c r="U71">
        <v>1596</v>
      </c>
      <c r="W71">
        <v>1521</v>
      </c>
      <c r="X71">
        <v>2029</v>
      </c>
      <c r="Y71">
        <v>2175</v>
      </c>
      <c r="AA71" s="219">
        <v>0.2</v>
      </c>
      <c r="AB71" s="219">
        <v>0.5</v>
      </c>
      <c r="AC71" s="219">
        <v>0.8</v>
      </c>
      <c r="AD71" s="220">
        <v>1482.4</v>
      </c>
    </row>
    <row r="72" spans="2:30" x14ac:dyDescent="0.2">
      <c r="B72" s="216">
        <f t="shared" si="2"/>
        <v>69</v>
      </c>
      <c r="C72" s="216">
        <f t="shared" si="3"/>
        <v>0.33173076923076922</v>
      </c>
      <c r="D72">
        <v>2059</v>
      </c>
      <c r="E72">
        <v>1522</v>
      </c>
      <c r="F72">
        <v>1807</v>
      </c>
      <c r="G72">
        <v>1915</v>
      </c>
      <c r="H72"/>
      <c r="I72">
        <v>1937</v>
      </c>
      <c r="J72">
        <v>1875</v>
      </c>
      <c r="K72">
        <v>1877</v>
      </c>
      <c r="L72">
        <v>1902</v>
      </c>
      <c r="M72"/>
      <c r="N72">
        <v>1929</v>
      </c>
      <c r="O72">
        <v>1988</v>
      </c>
      <c r="P72">
        <v>1990</v>
      </c>
      <c r="Q72"/>
      <c r="R72">
        <v>1753</v>
      </c>
      <c r="S72">
        <v>1730</v>
      </c>
      <c r="T72">
        <v>1610</v>
      </c>
      <c r="U72">
        <v>1598</v>
      </c>
      <c r="W72">
        <v>1521</v>
      </c>
      <c r="X72">
        <v>2029</v>
      </c>
      <c r="Y72">
        <v>2175</v>
      </c>
      <c r="AA72" s="219">
        <v>0.2</v>
      </c>
      <c r="AB72" s="219">
        <v>0.5</v>
      </c>
      <c r="AC72" s="219">
        <v>0.8</v>
      </c>
      <c r="AD72" s="220">
        <v>1489.6</v>
      </c>
    </row>
    <row r="73" spans="2:30" x14ac:dyDescent="0.2">
      <c r="B73" s="216">
        <f t="shared" si="2"/>
        <v>70</v>
      </c>
      <c r="C73" s="216">
        <f t="shared" si="3"/>
        <v>0.33653846153846156</v>
      </c>
      <c r="D73">
        <v>2060</v>
      </c>
      <c r="E73">
        <v>1528</v>
      </c>
      <c r="F73">
        <v>1808</v>
      </c>
      <c r="G73">
        <v>1915</v>
      </c>
      <c r="H73"/>
      <c r="I73">
        <v>1939</v>
      </c>
      <c r="J73">
        <v>1879</v>
      </c>
      <c r="K73">
        <v>1879</v>
      </c>
      <c r="L73">
        <v>1902</v>
      </c>
      <c r="M73"/>
      <c r="N73">
        <v>1933</v>
      </c>
      <c r="O73">
        <v>1990</v>
      </c>
      <c r="P73">
        <v>1990</v>
      </c>
      <c r="Q73"/>
      <c r="R73">
        <v>1753</v>
      </c>
      <c r="S73">
        <v>1747</v>
      </c>
      <c r="T73">
        <v>1610</v>
      </c>
      <c r="U73">
        <v>1598</v>
      </c>
      <c r="W73">
        <v>1521</v>
      </c>
      <c r="X73">
        <v>2029</v>
      </c>
      <c r="Y73">
        <v>2175</v>
      </c>
      <c r="AA73" s="219">
        <v>0.2</v>
      </c>
      <c r="AB73" s="219">
        <v>0.5</v>
      </c>
      <c r="AC73" s="219">
        <v>0.8</v>
      </c>
      <c r="AD73" s="216">
        <v>1496.8</v>
      </c>
    </row>
    <row r="74" spans="2:30" x14ac:dyDescent="0.2">
      <c r="B74" s="216">
        <f t="shared" si="2"/>
        <v>71</v>
      </c>
      <c r="C74" s="216">
        <f t="shared" si="3"/>
        <v>0.34134615384615385</v>
      </c>
      <c r="D74">
        <v>2060</v>
      </c>
      <c r="E74">
        <v>1531</v>
      </c>
      <c r="F74">
        <v>1813</v>
      </c>
      <c r="G74">
        <v>1930</v>
      </c>
      <c r="H74"/>
      <c r="I74">
        <v>1947</v>
      </c>
      <c r="J74">
        <v>1882</v>
      </c>
      <c r="K74">
        <v>1885</v>
      </c>
      <c r="L74">
        <v>1904</v>
      </c>
      <c r="M74"/>
      <c r="N74">
        <v>1940</v>
      </c>
      <c r="O74">
        <v>1994</v>
      </c>
      <c r="P74">
        <v>1994</v>
      </c>
      <c r="Q74"/>
      <c r="R74">
        <v>1753</v>
      </c>
      <c r="S74">
        <v>1752</v>
      </c>
      <c r="T74">
        <v>1613</v>
      </c>
      <c r="U74">
        <v>1600</v>
      </c>
      <c r="W74">
        <v>1521</v>
      </c>
      <c r="X74">
        <v>2029</v>
      </c>
      <c r="Y74">
        <v>2175</v>
      </c>
      <c r="AA74" s="219">
        <v>0.2</v>
      </c>
      <c r="AB74" s="219">
        <v>0.5</v>
      </c>
      <c r="AC74" s="219">
        <v>0.8</v>
      </c>
      <c r="AD74" s="220">
        <v>1504</v>
      </c>
    </row>
    <row r="75" spans="2:30" x14ac:dyDescent="0.2">
      <c r="B75" s="216">
        <f t="shared" si="2"/>
        <v>72</v>
      </c>
      <c r="C75" s="216">
        <f t="shared" si="3"/>
        <v>0.34615384615384615</v>
      </c>
      <c r="D75">
        <v>2060</v>
      </c>
      <c r="E75">
        <v>1535</v>
      </c>
      <c r="F75">
        <v>1815</v>
      </c>
      <c r="G75">
        <v>1935</v>
      </c>
      <c r="H75"/>
      <c r="I75">
        <v>1947</v>
      </c>
      <c r="J75">
        <v>1884</v>
      </c>
      <c r="K75">
        <v>1889</v>
      </c>
      <c r="L75">
        <v>1909</v>
      </c>
      <c r="M75"/>
      <c r="N75">
        <v>1943</v>
      </c>
      <c r="O75">
        <v>1996</v>
      </c>
      <c r="P75">
        <v>1996</v>
      </c>
      <c r="Q75"/>
      <c r="R75">
        <v>1767</v>
      </c>
      <c r="S75">
        <v>1752</v>
      </c>
      <c r="T75">
        <v>1615</v>
      </c>
      <c r="U75">
        <v>1601</v>
      </c>
      <c r="W75">
        <v>1521</v>
      </c>
      <c r="X75">
        <v>2029</v>
      </c>
      <c r="Y75">
        <v>2175</v>
      </c>
      <c r="AA75" s="219">
        <v>0.2</v>
      </c>
      <c r="AB75" s="219">
        <v>0.5</v>
      </c>
      <c r="AC75" s="219">
        <v>0.8</v>
      </c>
      <c r="AD75" s="220">
        <v>1511.2</v>
      </c>
    </row>
    <row r="76" spans="2:30" x14ac:dyDescent="0.2">
      <c r="B76" s="216">
        <f t="shared" si="2"/>
        <v>73</v>
      </c>
      <c r="C76" s="216">
        <f t="shared" si="3"/>
        <v>0.35096153846153844</v>
      </c>
      <c r="D76">
        <v>2060</v>
      </c>
      <c r="E76">
        <v>1536</v>
      </c>
      <c r="F76">
        <v>1817</v>
      </c>
      <c r="G76">
        <v>1938</v>
      </c>
      <c r="H76"/>
      <c r="I76">
        <v>1947</v>
      </c>
      <c r="J76">
        <v>1885</v>
      </c>
      <c r="K76">
        <v>1897</v>
      </c>
      <c r="L76">
        <v>1909</v>
      </c>
      <c r="M76"/>
      <c r="N76">
        <v>1945</v>
      </c>
      <c r="O76">
        <v>2000</v>
      </c>
      <c r="P76">
        <v>1997</v>
      </c>
      <c r="Q76"/>
      <c r="R76">
        <v>1778</v>
      </c>
      <c r="S76">
        <v>1752</v>
      </c>
      <c r="T76">
        <v>1618</v>
      </c>
      <c r="U76">
        <v>1603</v>
      </c>
      <c r="W76">
        <v>1521</v>
      </c>
      <c r="X76">
        <v>2029</v>
      </c>
      <c r="Y76">
        <v>2175</v>
      </c>
      <c r="AA76" s="219">
        <v>0.2</v>
      </c>
      <c r="AB76" s="219">
        <v>0.5</v>
      </c>
      <c r="AC76" s="219">
        <v>0.8</v>
      </c>
      <c r="AD76" s="216">
        <v>1518.4</v>
      </c>
    </row>
    <row r="77" spans="2:30" x14ac:dyDescent="0.2">
      <c r="B77" s="216">
        <f t="shared" si="2"/>
        <v>74</v>
      </c>
      <c r="C77" s="216">
        <f t="shared" si="3"/>
        <v>0.35576923076923078</v>
      </c>
      <c r="D77">
        <v>2061</v>
      </c>
      <c r="E77">
        <v>1549</v>
      </c>
      <c r="F77">
        <v>1817</v>
      </c>
      <c r="G77">
        <v>1941</v>
      </c>
      <c r="H77"/>
      <c r="I77">
        <v>1950</v>
      </c>
      <c r="J77">
        <v>1887</v>
      </c>
      <c r="K77">
        <v>1899</v>
      </c>
      <c r="L77">
        <v>1910</v>
      </c>
      <c r="M77"/>
      <c r="N77">
        <v>1945</v>
      </c>
      <c r="O77">
        <v>2000</v>
      </c>
      <c r="P77">
        <v>1997</v>
      </c>
      <c r="Q77"/>
      <c r="R77">
        <v>1783</v>
      </c>
      <c r="S77">
        <v>1752</v>
      </c>
      <c r="T77">
        <v>1621</v>
      </c>
      <c r="U77">
        <v>1605</v>
      </c>
      <c r="W77">
        <v>1521</v>
      </c>
      <c r="X77">
        <v>2029</v>
      </c>
      <c r="Y77">
        <v>2175</v>
      </c>
      <c r="AA77" s="219">
        <v>0.2</v>
      </c>
      <c r="AB77" s="219">
        <v>0.5</v>
      </c>
      <c r="AC77" s="219">
        <v>0.8</v>
      </c>
      <c r="AD77" s="220">
        <v>1525.6</v>
      </c>
    </row>
    <row r="78" spans="2:30" x14ac:dyDescent="0.2">
      <c r="B78" s="216">
        <f t="shared" si="2"/>
        <v>75</v>
      </c>
      <c r="C78" s="216">
        <f t="shared" si="3"/>
        <v>0.36057692307692307</v>
      </c>
      <c r="D78">
        <v>2061</v>
      </c>
      <c r="E78">
        <v>1550</v>
      </c>
      <c r="F78">
        <v>1824</v>
      </c>
      <c r="G78">
        <v>1950</v>
      </c>
      <c r="H78"/>
      <c r="I78">
        <v>1950</v>
      </c>
      <c r="J78">
        <v>1890</v>
      </c>
      <c r="K78">
        <v>1903</v>
      </c>
      <c r="L78">
        <v>1910</v>
      </c>
      <c r="M78"/>
      <c r="N78">
        <v>1945</v>
      </c>
      <c r="O78">
        <v>2001</v>
      </c>
      <c r="P78">
        <v>1997</v>
      </c>
      <c r="Q78"/>
      <c r="R78">
        <v>1788</v>
      </c>
      <c r="S78">
        <v>1753</v>
      </c>
      <c r="T78">
        <v>1626</v>
      </c>
      <c r="U78">
        <v>1605</v>
      </c>
      <c r="W78">
        <v>1521</v>
      </c>
      <c r="X78">
        <v>2029</v>
      </c>
      <c r="Y78">
        <v>2175</v>
      </c>
      <c r="AA78" s="219">
        <v>0.2</v>
      </c>
      <c r="AB78" s="219">
        <v>0.5</v>
      </c>
      <c r="AC78" s="219">
        <v>0.8</v>
      </c>
      <c r="AD78" s="220">
        <v>1532.8</v>
      </c>
    </row>
    <row r="79" spans="2:30" x14ac:dyDescent="0.2">
      <c r="B79" s="216">
        <f t="shared" si="2"/>
        <v>76</v>
      </c>
      <c r="C79" s="216">
        <f t="shared" si="3"/>
        <v>0.36538461538461536</v>
      </c>
      <c r="D79">
        <v>2062</v>
      </c>
      <c r="E79">
        <v>1550</v>
      </c>
      <c r="F79">
        <v>1827</v>
      </c>
      <c r="G79">
        <v>1958</v>
      </c>
      <c r="H79"/>
      <c r="I79">
        <v>1950</v>
      </c>
      <c r="J79">
        <v>1890</v>
      </c>
      <c r="K79">
        <v>1904</v>
      </c>
      <c r="L79">
        <v>1911</v>
      </c>
      <c r="M79"/>
      <c r="N79">
        <v>1950</v>
      </c>
      <c r="O79">
        <v>2001</v>
      </c>
      <c r="P79">
        <v>1999</v>
      </c>
      <c r="Q79"/>
      <c r="R79">
        <v>1800</v>
      </c>
      <c r="S79">
        <v>1753</v>
      </c>
      <c r="T79">
        <v>1626</v>
      </c>
      <c r="U79">
        <v>1606</v>
      </c>
      <c r="W79">
        <v>1521</v>
      </c>
      <c r="X79">
        <v>2029</v>
      </c>
      <c r="Y79">
        <v>2175</v>
      </c>
      <c r="AA79" s="219">
        <v>0.2</v>
      </c>
      <c r="AB79" s="219">
        <v>0.5</v>
      </c>
      <c r="AC79" s="219">
        <v>0.8</v>
      </c>
      <c r="AD79" s="216">
        <v>1540</v>
      </c>
    </row>
    <row r="80" spans="2:30" x14ac:dyDescent="0.2">
      <c r="B80" s="216">
        <f t="shared" si="2"/>
        <v>77</v>
      </c>
      <c r="C80" s="216">
        <f t="shared" si="3"/>
        <v>0.37019230769230771</v>
      </c>
      <c r="D80">
        <v>2062</v>
      </c>
      <c r="E80">
        <v>1567</v>
      </c>
      <c r="F80">
        <v>1833</v>
      </c>
      <c r="G80">
        <v>1959</v>
      </c>
      <c r="H80"/>
      <c r="I80">
        <v>1951</v>
      </c>
      <c r="J80">
        <v>1895</v>
      </c>
      <c r="K80">
        <v>1905</v>
      </c>
      <c r="L80">
        <v>1912</v>
      </c>
      <c r="M80"/>
      <c r="N80">
        <v>1951</v>
      </c>
      <c r="O80">
        <v>2001</v>
      </c>
      <c r="P80">
        <v>2000</v>
      </c>
      <c r="Q80"/>
      <c r="R80">
        <v>1800</v>
      </c>
      <c r="S80">
        <v>1753</v>
      </c>
      <c r="T80">
        <v>1627</v>
      </c>
      <c r="U80">
        <v>1606</v>
      </c>
      <c r="W80">
        <v>1521</v>
      </c>
      <c r="X80">
        <v>2029</v>
      </c>
      <c r="Y80">
        <v>2175</v>
      </c>
      <c r="AA80" s="219">
        <v>0.2</v>
      </c>
      <c r="AB80" s="219">
        <v>0.5</v>
      </c>
      <c r="AC80" s="219">
        <v>0.8</v>
      </c>
      <c r="AD80" s="220">
        <v>1547.2</v>
      </c>
    </row>
    <row r="81" spans="2:30" x14ac:dyDescent="0.2">
      <c r="B81" s="216">
        <f t="shared" si="2"/>
        <v>78</v>
      </c>
      <c r="C81" s="216">
        <f t="shared" si="3"/>
        <v>0.375</v>
      </c>
      <c r="D81">
        <v>2062</v>
      </c>
      <c r="E81">
        <v>1568</v>
      </c>
      <c r="F81">
        <v>1847</v>
      </c>
      <c r="G81">
        <v>1961</v>
      </c>
      <c r="H81"/>
      <c r="I81">
        <v>1951</v>
      </c>
      <c r="J81">
        <v>1897</v>
      </c>
      <c r="K81">
        <v>1912</v>
      </c>
      <c r="L81">
        <v>1920</v>
      </c>
      <c r="M81"/>
      <c r="N81">
        <v>1952</v>
      </c>
      <c r="O81">
        <v>2001</v>
      </c>
      <c r="P81">
        <v>2001</v>
      </c>
      <c r="Q81"/>
      <c r="R81">
        <v>1800</v>
      </c>
      <c r="S81">
        <v>1757</v>
      </c>
      <c r="T81">
        <v>1627</v>
      </c>
      <c r="U81">
        <v>1606</v>
      </c>
      <c r="W81">
        <v>1521</v>
      </c>
      <c r="X81">
        <v>2029</v>
      </c>
      <c r="Y81">
        <v>2175</v>
      </c>
      <c r="AA81" s="219">
        <v>0.2</v>
      </c>
      <c r="AB81" s="219">
        <v>0.5</v>
      </c>
      <c r="AC81" s="219">
        <v>0.8</v>
      </c>
      <c r="AD81" s="220">
        <v>1554.4</v>
      </c>
    </row>
    <row r="82" spans="2:30" x14ac:dyDescent="0.2">
      <c r="B82" s="216">
        <f t="shared" si="2"/>
        <v>79</v>
      </c>
      <c r="C82" s="216">
        <f t="shared" si="3"/>
        <v>0.37980769230769229</v>
      </c>
      <c r="D82">
        <v>2064</v>
      </c>
      <c r="E82">
        <v>1569</v>
      </c>
      <c r="F82">
        <v>1847</v>
      </c>
      <c r="G82">
        <v>1989</v>
      </c>
      <c r="H82"/>
      <c r="I82">
        <v>1952</v>
      </c>
      <c r="J82">
        <v>1899</v>
      </c>
      <c r="K82">
        <v>1922</v>
      </c>
      <c r="L82">
        <v>1929</v>
      </c>
      <c r="M82"/>
      <c r="N82">
        <v>1954</v>
      </c>
      <c r="O82">
        <v>2001</v>
      </c>
      <c r="P82">
        <v>2001</v>
      </c>
      <c r="Q82"/>
      <c r="R82">
        <v>1800</v>
      </c>
      <c r="S82">
        <v>1757</v>
      </c>
      <c r="T82">
        <v>1628</v>
      </c>
      <c r="U82">
        <v>1607</v>
      </c>
      <c r="W82">
        <v>1521</v>
      </c>
      <c r="X82">
        <v>2029</v>
      </c>
      <c r="Y82">
        <v>2175</v>
      </c>
      <c r="AA82" s="219">
        <v>0.2</v>
      </c>
      <c r="AB82" s="219">
        <v>0.5</v>
      </c>
      <c r="AC82" s="219">
        <v>0.8</v>
      </c>
      <c r="AD82" s="216">
        <v>1561.6</v>
      </c>
    </row>
    <row r="83" spans="2:30" x14ac:dyDescent="0.2">
      <c r="B83" s="216">
        <f t="shared" si="2"/>
        <v>80</v>
      </c>
      <c r="C83" s="216">
        <f t="shared" si="3"/>
        <v>0.38461538461538464</v>
      </c>
      <c r="D83">
        <v>2065</v>
      </c>
      <c r="E83">
        <v>1570</v>
      </c>
      <c r="F83">
        <v>1850</v>
      </c>
      <c r="G83">
        <v>1989</v>
      </c>
      <c r="H83"/>
      <c r="I83">
        <v>1957</v>
      </c>
      <c r="J83">
        <v>1900</v>
      </c>
      <c r="K83">
        <v>1924</v>
      </c>
      <c r="L83">
        <v>1935</v>
      </c>
      <c r="M83"/>
      <c r="N83">
        <v>1967</v>
      </c>
      <c r="O83">
        <v>2001</v>
      </c>
      <c r="P83">
        <v>2001</v>
      </c>
      <c r="Q83"/>
      <c r="R83">
        <v>1802</v>
      </c>
      <c r="S83">
        <v>1758</v>
      </c>
      <c r="T83">
        <v>1628</v>
      </c>
      <c r="U83">
        <v>1610</v>
      </c>
      <c r="W83">
        <v>1521</v>
      </c>
      <c r="X83">
        <v>2029</v>
      </c>
      <c r="Y83">
        <v>2175</v>
      </c>
      <c r="AA83" s="219">
        <v>0.2</v>
      </c>
      <c r="AB83" s="219">
        <v>0.5</v>
      </c>
      <c r="AC83" s="219">
        <v>0.8</v>
      </c>
      <c r="AD83" s="220">
        <v>1568.8</v>
      </c>
    </row>
    <row r="84" spans="2:30" x14ac:dyDescent="0.2">
      <c r="B84" s="216">
        <f t="shared" si="2"/>
        <v>81</v>
      </c>
      <c r="C84" s="216">
        <f t="shared" si="3"/>
        <v>0.38942307692307693</v>
      </c>
      <c r="D84">
        <v>2066</v>
      </c>
      <c r="E84">
        <v>1577</v>
      </c>
      <c r="F84">
        <v>1850</v>
      </c>
      <c r="G84">
        <v>1996</v>
      </c>
      <c r="H84"/>
      <c r="I84">
        <v>1959</v>
      </c>
      <c r="J84">
        <v>1900</v>
      </c>
      <c r="K84">
        <v>1933</v>
      </c>
      <c r="L84">
        <v>1941</v>
      </c>
      <c r="M84"/>
      <c r="N84">
        <v>1971</v>
      </c>
      <c r="O84">
        <v>2002</v>
      </c>
      <c r="P84">
        <v>2001</v>
      </c>
      <c r="Q84"/>
      <c r="R84">
        <v>1802</v>
      </c>
      <c r="S84">
        <v>1758</v>
      </c>
      <c r="T84">
        <v>1638</v>
      </c>
      <c r="U84">
        <v>1616</v>
      </c>
      <c r="W84">
        <v>1521</v>
      </c>
      <c r="X84">
        <v>2029</v>
      </c>
      <c r="Y84">
        <v>2175</v>
      </c>
      <c r="AA84" s="219">
        <v>0.2</v>
      </c>
      <c r="AB84" s="219">
        <v>0.5</v>
      </c>
      <c r="AC84" s="219">
        <v>0.8</v>
      </c>
      <c r="AD84" s="220">
        <v>1576</v>
      </c>
    </row>
    <row r="85" spans="2:30" x14ac:dyDescent="0.2">
      <c r="B85" s="216">
        <f t="shared" si="2"/>
        <v>82</v>
      </c>
      <c r="C85" s="216">
        <f t="shared" si="3"/>
        <v>0.39423076923076922</v>
      </c>
      <c r="D85">
        <v>2066</v>
      </c>
      <c r="E85">
        <v>1578</v>
      </c>
      <c r="F85">
        <v>1852</v>
      </c>
      <c r="G85">
        <v>1998</v>
      </c>
      <c r="H85"/>
      <c r="I85">
        <v>1963</v>
      </c>
      <c r="J85">
        <v>1903</v>
      </c>
      <c r="K85">
        <v>1937</v>
      </c>
      <c r="L85">
        <v>1941</v>
      </c>
      <c r="M85"/>
      <c r="N85">
        <v>1972</v>
      </c>
      <c r="O85">
        <v>2002</v>
      </c>
      <c r="P85">
        <v>2001</v>
      </c>
      <c r="Q85"/>
      <c r="R85">
        <v>1807</v>
      </c>
      <c r="S85">
        <v>1760</v>
      </c>
      <c r="T85">
        <v>1640</v>
      </c>
      <c r="U85">
        <v>1618</v>
      </c>
      <c r="W85">
        <v>1521</v>
      </c>
      <c r="X85">
        <v>2029</v>
      </c>
      <c r="Y85">
        <v>2175</v>
      </c>
      <c r="AA85" s="219">
        <v>0.2</v>
      </c>
      <c r="AB85" s="219">
        <v>0.5</v>
      </c>
      <c r="AC85" s="219">
        <v>0.8</v>
      </c>
      <c r="AD85" s="216">
        <v>1583.2</v>
      </c>
    </row>
    <row r="86" spans="2:30" x14ac:dyDescent="0.2">
      <c r="B86" s="216">
        <f t="shared" si="2"/>
        <v>83</v>
      </c>
      <c r="C86" s="216">
        <f t="shared" si="3"/>
        <v>0.39903846153846156</v>
      </c>
      <c r="D86">
        <v>2066</v>
      </c>
      <c r="E86">
        <v>1581</v>
      </c>
      <c r="F86">
        <v>1860</v>
      </c>
      <c r="G86">
        <v>2000</v>
      </c>
      <c r="H86"/>
      <c r="I86">
        <v>1967</v>
      </c>
      <c r="J86">
        <v>1904</v>
      </c>
      <c r="K86">
        <v>1941</v>
      </c>
      <c r="L86">
        <v>1944</v>
      </c>
      <c r="M86"/>
      <c r="N86">
        <v>1973</v>
      </c>
      <c r="O86">
        <v>2002</v>
      </c>
      <c r="P86">
        <v>2002</v>
      </c>
      <c r="Q86"/>
      <c r="R86">
        <v>1812</v>
      </c>
      <c r="S86">
        <v>1763</v>
      </c>
      <c r="T86">
        <v>1648</v>
      </c>
      <c r="U86">
        <v>1619</v>
      </c>
      <c r="W86">
        <v>1521</v>
      </c>
      <c r="X86">
        <v>2029</v>
      </c>
      <c r="Y86">
        <v>2175</v>
      </c>
      <c r="AA86" s="219">
        <v>0.2</v>
      </c>
      <c r="AB86" s="219">
        <v>0.5</v>
      </c>
      <c r="AC86" s="219">
        <v>0.8</v>
      </c>
      <c r="AD86" s="220">
        <v>1590.4</v>
      </c>
    </row>
    <row r="87" spans="2:30" x14ac:dyDescent="0.2">
      <c r="B87" s="216">
        <f t="shared" si="2"/>
        <v>84</v>
      </c>
      <c r="C87" s="216">
        <f t="shared" si="3"/>
        <v>0.40384615384615385</v>
      </c>
      <c r="D87">
        <v>2066</v>
      </c>
      <c r="E87">
        <v>1583</v>
      </c>
      <c r="F87">
        <v>1864</v>
      </c>
      <c r="G87">
        <v>2000</v>
      </c>
      <c r="H87"/>
      <c r="I87">
        <v>1968</v>
      </c>
      <c r="J87">
        <v>1907</v>
      </c>
      <c r="K87">
        <v>1942</v>
      </c>
      <c r="L87">
        <v>1947</v>
      </c>
      <c r="M87"/>
      <c r="N87">
        <v>1974</v>
      </c>
      <c r="O87">
        <v>2002</v>
      </c>
      <c r="P87">
        <v>2002</v>
      </c>
      <c r="Q87"/>
      <c r="R87">
        <v>1814</v>
      </c>
      <c r="S87">
        <v>1767</v>
      </c>
      <c r="T87">
        <v>1650</v>
      </c>
      <c r="U87">
        <v>1619</v>
      </c>
      <c r="W87">
        <v>1521</v>
      </c>
      <c r="X87">
        <v>2029</v>
      </c>
      <c r="Y87">
        <v>2175</v>
      </c>
      <c r="AA87" s="219">
        <v>0.2</v>
      </c>
      <c r="AB87" s="219">
        <v>0.5</v>
      </c>
      <c r="AC87" s="219">
        <v>0.8</v>
      </c>
      <c r="AD87" s="220">
        <v>1597.6</v>
      </c>
    </row>
    <row r="88" spans="2:30" x14ac:dyDescent="0.2">
      <c r="B88" s="216">
        <f t="shared" si="2"/>
        <v>85</v>
      </c>
      <c r="C88" s="216">
        <f t="shared" si="3"/>
        <v>0.40865384615384615</v>
      </c>
      <c r="D88">
        <v>2066</v>
      </c>
      <c r="E88">
        <v>1586</v>
      </c>
      <c r="F88">
        <v>1864</v>
      </c>
      <c r="G88">
        <v>2000</v>
      </c>
      <c r="H88"/>
      <c r="I88">
        <v>1969</v>
      </c>
      <c r="J88">
        <v>1907</v>
      </c>
      <c r="K88">
        <v>1953</v>
      </c>
      <c r="L88">
        <v>1949</v>
      </c>
      <c r="M88"/>
      <c r="N88">
        <v>1976</v>
      </c>
      <c r="O88">
        <v>2002</v>
      </c>
      <c r="P88">
        <v>2002</v>
      </c>
      <c r="Q88"/>
      <c r="R88">
        <v>1817</v>
      </c>
      <c r="S88">
        <v>1767</v>
      </c>
      <c r="T88">
        <v>1650</v>
      </c>
      <c r="U88">
        <v>1628</v>
      </c>
      <c r="W88">
        <v>1521</v>
      </c>
      <c r="X88">
        <v>2029</v>
      </c>
      <c r="Y88">
        <v>2175</v>
      </c>
      <c r="AA88" s="219">
        <v>0.2</v>
      </c>
      <c r="AB88" s="219">
        <v>0.5</v>
      </c>
      <c r="AC88" s="219">
        <v>0.8</v>
      </c>
      <c r="AD88" s="216">
        <v>1604.8</v>
      </c>
    </row>
    <row r="89" spans="2:30" x14ac:dyDescent="0.2">
      <c r="B89" s="216">
        <f t="shared" si="2"/>
        <v>86</v>
      </c>
      <c r="C89" s="216">
        <f t="shared" si="3"/>
        <v>0.41346153846153844</v>
      </c>
      <c r="D89">
        <v>2068</v>
      </c>
      <c r="E89">
        <v>1591</v>
      </c>
      <c r="F89">
        <v>1869</v>
      </c>
      <c r="G89">
        <v>2002</v>
      </c>
      <c r="H89"/>
      <c r="I89">
        <v>1969</v>
      </c>
      <c r="J89">
        <v>1909</v>
      </c>
      <c r="K89">
        <v>1955</v>
      </c>
      <c r="L89">
        <v>1950</v>
      </c>
      <c r="M89"/>
      <c r="N89">
        <v>1977</v>
      </c>
      <c r="O89">
        <v>2002</v>
      </c>
      <c r="P89">
        <v>2002</v>
      </c>
      <c r="Q89"/>
      <c r="R89">
        <v>1818</v>
      </c>
      <c r="S89">
        <v>1777</v>
      </c>
      <c r="T89">
        <v>1650</v>
      </c>
      <c r="U89">
        <v>1629</v>
      </c>
      <c r="W89">
        <v>1521</v>
      </c>
      <c r="X89">
        <v>2029</v>
      </c>
      <c r="Y89">
        <v>2175</v>
      </c>
      <c r="AA89" s="219">
        <v>0.2</v>
      </c>
      <c r="AB89" s="219">
        <v>0.5</v>
      </c>
      <c r="AC89" s="219">
        <v>0.8</v>
      </c>
      <c r="AD89" s="220">
        <v>1612</v>
      </c>
    </row>
    <row r="90" spans="2:30" x14ac:dyDescent="0.2">
      <c r="B90" s="216">
        <f t="shared" si="2"/>
        <v>87</v>
      </c>
      <c r="C90" s="216">
        <f t="shared" si="3"/>
        <v>0.41826923076923078</v>
      </c>
      <c r="D90">
        <v>2069</v>
      </c>
      <c r="E90">
        <v>1596</v>
      </c>
      <c r="F90">
        <v>1871</v>
      </c>
      <c r="G90">
        <v>2002</v>
      </c>
      <c r="H90"/>
      <c r="I90">
        <v>1972</v>
      </c>
      <c r="J90">
        <v>1912</v>
      </c>
      <c r="K90">
        <v>1968</v>
      </c>
      <c r="L90">
        <v>1954</v>
      </c>
      <c r="M90"/>
      <c r="N90">
        <v>1980</v>
      </c>
      <c r="O90">
        <v>2003</v>
      </c>
      <c r="P90">
        <v>2002</v>
      </c>
      <c r="Q90"/>
      <c r="R90">
        <v>1818</v>
      </c>
      <c r="S90">
        <v>1777</v>
      </c>
      <c r="T90">
        <v>1650</v>
      </c>
      <c r="U90">
        <v>1631</v>
      </c>
      <c r="W90">
        <v>1521</v>
      </c>
      <c r="X90">
        <v>2029</v>
      </c>
      <c r="Y90">
        <v>2175</v>
      </c>
      <c r="AA90" s="219">
        <v>0.2</v>
      </c>
      <c r="AB90" s="219">
        <v>0.5</v>
      </c>
      <c r="AC90" s="219">
        <v>0.8</v>
      </c>
      <c r="AD90" s="220">
        <v>1619.2</v>
      </c>
    </row>
    <row r="91" spans="2:30" x14ac:dyDescent="0.2">
      <c r="B91" s="216">
        <f t="shared" si="2"/>
        <v>88</v>
      </c>
      <c r="C91" s="216">
        <f t="shared" si="3"/>
        <v>0.42307692307692307</v>
      </c>
      <c r="D91">
        <v>2070</v>
      </c>
      <c r="E91">
        <v>1598</v>
      </c>
      <c r="F91">
        <v>1880</v>
      </c>
      <c r="G91">
        <v>2003</v>
      </c>
      <c r="H91"/>
      <c r="I91">
        <v>1976</v>
      </c>
      <c r="J91">
        <v>1917</v>
      </c>
      <c r="K91">
        <v>1993</v>
      </c>
      <c r="L91">
        <v>1959</v>
      </c>
      <c r="M91"/>
      <c r="N91">
        <v>1981</v>
      </c>
      <c r="O91">
        <v>2003</v>
      </c>
      <c r="P91">
        <v>2004</v>
      </c>
      <c r="Q91"/>
      <c r="R91">
        <v>1827</v>
      </c>
      <c r="S91">
        <v>1778</v>
      </c>
      <c r="T91">
        <v>1650</v>
      </c>
      <c r="U91">
        <v>1631</v>
      </c>
      <c r="W91">
        <v>1521</v>
      </c>
      <c r="X91">
        <v>2029</v>
      </c>
      <c r="Y91">
        <v>2175</v>
      </c>
      <c r="AA91" s="219">
        <v>0.2</v>
      </c>
      <c r="AB91" s="219">
        <v>0.5</v>
      </c>
      <c r="AC91" s="219">
        <v>0.8</v>
      </c>
      <c r="AD91" s="216">
        <v>1626.4</v>
      </c>
    </row>
    <row r="92" spans="2:30" x14ac:dyDescent="0.2">
      <c r="B92" s="216">
        <f t="shared" si="2"/>
        <v>89</v>
      </c>
      <c r="C92" s="216">
        <f t="shared" si="3"/>
        <v>0.42788461538461536</v>
      </c>
      <c r="D92">
        <v>2070</v>
      </c>
      <c r="E92">
        <v>1598</v>
      </c>
      <c r="F92">
        <v>1884</v>
      </c>
      <c r="G92">
        <v>2004</v>
      </c>
      <c r="H92"/>
      <c r="I92">
        <v>1976</v>
      </c>
      <c r="J92">
        <v>1917</v>
      </c>
      <c r="K92">
        <v>1994</v>
      </c>
      <c r="L92">
        <v>1964</v>
      </c>
      <c r="M92"/>
      <c r="N92">
        <v>1987</v>
      </c>
      <c r="O92">
        <v>2003</v>
      </c>
      <c r="P92">
        <v>2004</v>
      </c>
      <c r="Q92"/>
      <c r="R92">
        <v>1827</v>
      </c>
      <c r="S92">
        <v>1787</v>
      </c>
      <c r="T92">
        <v>1653</v>
      </c>
      <c r="U92">
        <v>1636</v>
      </c>
      <c r="W92">
        <v>1521</v>
      </c>
      <c r="X92">
        <v>2029</v>
      </c>
      <c r="Y92">
        <v>2175</v>
      </c>
      <c r="AA92" s="219">
        <v>0.2</v>
      </c>
      <c r="AB92" s="219">
        <v>0.5</v>
      </c>
      <c r="AC92" s="219">
        <v>0.8</v>
      </c>
      <c r="AD92" s="220">
        <v>1633.6</v>
      </c>
    </row>
    <row r="93" spans="2:30" x14ac:dyDescent="0.2">
      <c r="B93" s="216">
        <f t="shared" si="2"/>
        <v>90</v>
      </c>
      <c r="C93" s="216">
        <f t="shared" si="3"/>
        <v>0.43269230769230771</v>
      </c>
      <c r="D93">
        <v>2070</v>
      </c>
      <c r="E93">
        <v>1600</v>
      </c>
      <c r="F93">
        <v>1885</v>
      </c>
      <c r="G93">
        <v>2008</v>
      </c>
      <c r="H93"/>
      <c r="I93">
        <v>1977</v>
      </c>
      <c r="J93">
        <v>1921</v>
      </c>
      <c r="K93">
        <v>1999</v>
      </c>
      <c r="L93">
        <v>1964</v>
      </c>
      <c r="M93"/>
      <c r="N93">
        <v>1988</v>
      </c>
      <c r="O93">
        <v>2004</v>
      </c>
      <c r="P93">
        <v>2004</v>
      </c>
      <c r="Q93"/>
      <c r="R93">
        <v>1827</v>
      </c>
      <c r="S93">
        <v>1792</v>
      </c>
      <c r="T93">
        <v>1656</v>
      </c>
      <c r="U93">
        <v>1638</v>
      </c>
      <c r="W93">
        <v>1521</v>
      </c>
      <c r="X93">
        <v>2029</v>
      </c>
      <c r="Y93">
        <v>2175</v>
      </c>
      <c r="AA93" s="219">
        <v>0.2</v>
      </c>
      <c r="AB93" s="219">
        <v>0.5</v>
      </c>
      <c r="AC93" s="219">
        <v>0.8</v>
      </c>
      <c r="AD93" s="220">
        <v>1640.8</v>
      </c>
    </row>
    <row r="94" spans="2:30" x14ac:dyDescent="0.2">
      <c r="B94" s="216">
        <f t="shared" si="2"/>
        <v>91</v>
      </c>
      <c r="C94" s="216">
        <f t="shared" si="3"/>
        <v>0.4375</v>
      </c>
      <c r="D94">
        <v>2071</v>
      </c>
      <c r="E94">
        <v>1600</v>
      </c>
      <c r="F94">
        <v>1889</v>
      </c>
      <c r="G94">
        <v>2009</v>
      </c>
      <c r="H94"/>
      <c r="I94">
        <v>1977</v>
      </c>
      <c r="J94">
        <v>1930</v>
      </c>
      <c r="K94">
        <v>2001</v>
      </c>
      <c r="L94">
        <v>1970</v>
      </c>
      <c r="M94"/>
      <c r="N94">
        <v>1992</v>
      </c>
      <c r="O94">
        <v>2006</v>
      </c>
      <c r="P94">
        <v>2006</v>
      </c>
      <c r="Q94"/>
      <c r="R94">
        <v>1827</v>
      </c>
      <c r="S94">
        <v>1795</v>
      </c>
      <c r="T94">
        <v>1657</v>
      </c>
      <c r="U94">
        <v>1640</v>
      </c>
      <c r="W94">
        <v>1521</v>
      </c>
      <c r="X94">
        <v>2029</v>
      </c>
      <c r="Y94">
        <v>2175</v>
      </c>
      <c r="AA94" s="219">
        <v>0.2</v>
      </c>
      <c r="AB94" s="219">
        <v>0.5</v>
      </c>
      <c r="AC94" s="219">
        <v>0.8</v>
      </c>
      <c r="AD94" s="216">
        <v>1648</v>
      </c>
    </row>
    <row r="95" spans="2:30" x14ac:dyDescent="0.2">
      <c r="B95" s="216">
        <f t="shared" si="2"/>
        <v>92</v>
      </c>
      <c r="C95" s="216">
        <f t="shared" si="3"/>
        <v>0.44230769230769229</v>
      </c>
      <c r="D95">
        <v>2072</v>
      </c>
      <c r="E95">
        <v>1600</v>
      </c>
      <c r="F95">
        <v>1893</v>
      </c>
      <c r="G95">
        <v>2009</v>
      </c>
      <c r="H95"/>
      <c r="I95">
        <v>1978</v>
      </c>
      <c r="J95">
        <v>1932</v>
      </c>
      <c r="K95">
        <v>2001</v>
      </c>
      <c r="L95">
        <v>1971</v>
      </c>
      <c r="M95"/>
      <c r="N95">
        <v>1996</v>
      </c>
      <c r="O95">
        <v>2006</v>
      </c>
      <c r="P95">
        <v>2006</v>
      </c>
      <c r="Q95"/>
      <c r="R95">
        <v>1829</v>
      </c>
      <c r="S95">
        <v>1797</v>
      </c>
      <c r="T95">
        <v>1658</v>
      </c>
      <c r="U95">
        <v>1640</v>
      </c>
      <c r="W95">
        <v>1521</v>
      </c>
      <c r="X95">
        <v>2029</v>
      </c>
      <c r="Y95">
        <v>2175</v>
      </c>
      <c r="AA95" s="219">
        <v>0.2</v>
      </c>
      <c r="AB95" s="219">
        <v>0.5</v>
      </c>
      <c r="AC95" s="219">
        <v>0.8</v>
      </c>
      <c r="AD95" s="220">
        <v>1655.2</v>
      </c>
    </row>
    <row r="96" spans="2:30" x14ac:dyDescent="0.2">
      <c r="B96" s="216">
        <f t="shared" si="2"/>
        <v>93</v>
      </c>
      <c r="C96" s="216">
        <f t="shared" si="3"/>
        <v>0.44711538461538464</v>
      </c>
      <c r="D96">
        <v>2073</v>
      </c>
      <c r="E96">
        <v>1603</v>
      </c>
      <c r="F96">
        <v>1894</v>
      </c>
      <c r="G96">
        <v>2010</v>
      </c>
      <c r="H96"/>
      <c r="I96">
        <v>1978</v>
      </c>
      <c r="J96">
        <v>1933</v>
      </c>
      <c r="K96">
        <v>2002</v>
      </c>
      <c r="L96">
        <v>1978</v>
      </c>
      <c r="M96"/>
      <c r="N96">
        <v>1996</v>
      </c>
      <c r="O96">
        <v>2006</v>
      </c>
      <c r="P96">
        <v>2006</v>
      </c>
      <c r="Q96"/>
      <c r="R96">
        <v>1843</v>
      </c>
      <c r="S96">
        <v>1798</v>
      </c>
      <c r="T96">
        <v>1658</v>
      </c>
      <c r="U96">
        <v>1643</v>
      </c>
      <c r="W96">
        <v>1521</v>
      </c>
      <c r="X96">
        <v>2029</v>
      </c>
      <c r="Y96">
        <v>2175</v>
      </c>
      <c r="AA96" s="219">
        <v>0.2</v>
      </c>
      <c r="AB96" s="219">
        <v>0.5</v>
      </c>
      <c r="AC96" s="219">
        <v>0.8</v>
      </c>
      <c r="AD96" s="220">
        <v>1662.4</v>
      </c>
    </row>
    <row r="97" spans="2:30" x14ac:dyDescent="0.2">
      <c r="B97" s="216">
        <f t="shared" si="2"/>
        <v>94</v>
      </c>
      <c r="C97" s="216">
        <f t="shared" si="3"/>
        <v>0.45192307692307693</v>
      </c>
      <c r="D97">
        <v>2073</v>
      </c>
      <c r="E97">
        <v>1603</v>
      </c>
      <c r="F97">
        <v>1895</v>
      </c>
      <c r="G97">
        <v>2011</v>
      </c>
      <c r="H97"/>
      <c r="I97">
        <v>1978</v>
      </c>
      <c r="J97">
        <v>1934</v>
      </c>
      <c r="K97">
        <v>2006</v>
      </c>
      <c r="L97">
        <v>1980</v>
      </c>
      <c r="M97"/>
      <c r="N97">
        <v>2001</v>
      </c>
      <c r="O97">
        <v>2006</v>
      </c>
      <c r="P97">
        <v>2007</v>
      </c>
      <c r="Q97"/>
      <c r="R97">
        <v>1847</v>
      </c>
      <c r="S97">
        <v>1800</v>
      </c>
      <c r="T97">
        <v>1660</v>
      </c>
      <c r="U97">
        <v>1643</v>
      </c>
      <c r="W97">
        <v>1521</v>
      </c>
      <c r="X97">
        <v>2029</v>
      </c>
      <c r="Y97">
        <v>2175</v>
      </c>
      <c r="AA97" s="219">
        <v>0.2</v>
      </c>
      <c r="AB97" s="219">
        <v>0.5</v>
      </c>
      <c r="AC97" s="219">
        <v>0.8</v>
      </c>
      <c r="AD97" s="216">
        <v>1669.6</v>
      </c>
    </row>
    <row r="98" spans="2:30" x14ac:dyDescent="0.2">
      <c r="B98" s="216">
        <f t="shared" si="2"/>
        <v>95</v>
      </c>
      <c r="C98" s="216">
        <f t="shared" si="3"/>
        <v>0.45673076923076922</v>
      </c>
      <c r="D98">
        <v>2073</v>
      </c>
      <c r="E98">
        <v>1603</v>
      </c>
      <c r="F98">
        <v>1899</v>
      </c>
      <c r="G98">
        <v>2015</v>
      </c>
      <c r="H98"/>
      <c r="I98">
        <v>1979</v>
      </c>
      <c r="J98">
        <v>1935</v>
      </c>
      <c r="K98">
        <v>2006</v>
      </c>
      <c r="L98">
        <v>1983</v>
      </c>
      <c r="M98"/>
      <c r="N98">
        <v>2001</v>
      </c>
      <c r="O98">
        <v>2007</v>
      </c>
      <c r="P98">
        <v>2007</v>
      </c>
      <c r="Q98"/>
      <c r="R98">
        <v>1850</v>
      </c>
      <c r="S98">
        <v>1800</v>
      </c>
      <c r="T98">
        <v>1666</v>
      </c>
      <c r="U98">
        <v>1645</v>
      </c>
      <c r="W98">
        <v>1521</v>
      </c>
      <c r="X98">
        <v>2029</v>
      </c>
      <c r="Y98">
        <v>2175</v>
      </c>
      <c r="AA98" s="219">
        <v>0.2</v>
      </c>
      <c r="AB98" s="219">
        <v>0.5</v>
      </c>
      <c r="AC98" s="219">
        <v>0.8</v>
      </c>
      <c r="AD98" s="220">
        <v>1676.8</v>
      </c>
    </row>
    <row r="99" spans="2:30" x14ac:dyDescent="0.2">
      <c r="B99" s="216">
        <f t="shared" si="2"/>
        <v>96</v>
      </c>
      <c r="C99" s="216">
        <f t="shared" si="3"/>
        <v>0.46153846153846156</v>
      </c>
      <c r="D99">
        <v>2075</v>
      </c>
      <c r="E99">
        <v>1603</v>
      </c>
      <c r="F99">
        <v>1899</v>
      </c>
      <c r="G99">
        <v>2019</v>
      </c>
      <c r="H99"/>
      <c r="I99">
        <v>1979</v>
      </c>
      <c r="J99">
        <v>1943</v>
      </c>
      <c r="K99">
        <v>2008</v>
      </c>
      <c r="L99">
        <v>1984</v>
      </c>
      <c r="M99"/>
      <c r="N99">
        <v>2001</v>
      </c>
      <c r="O99">
        <v>2007</v>
      </c>
      <c r="P99">
        <v>2007</v>
      </c>
      <c r="Q99"/>
      <c r="R99">
        <v>1854</v>
      </c>
      <c r="S99">
        <v>1802</v>
      </c>
      <c r="T99">
        <v>1670</v>
      </c>
      <c r="U99">
        <v>1645</v>
      </c>
      <c r="W99">
        <v>1521</v>
      </c>
      <c r="X99">
        <v>2029</v>
      </c>
      <c r="Y99">
        <v>2175</v>
      </c>
      <c r="AA99" s="219">
        <v>0.2</v>
      </c>
      <c r="AB99" s="219">
        <v>0.5</v>
      </c>
      <c r="AC99" s="219">
        <v>0.8</v>
      </c>
      <c r="AD99" s="220">
        <v>1684</v>
      </c>
    </row>
    <row r="100" spans="2:30" x14ac:dyDescent="0.2">
      <c r="B100" s="216">
        <f t="shared" si="2"/>
        <v>97</v>
      </c>
      <c r="C100" s="216">
        <f t="shared" si="3"/>
        <v>0.46634615384615385</v>
      </c>
      <c r="D100">
        <v>2076</v>
      </c>
      <c r="E100">
        <v>1606</v>
      </c>
      <c r="F100">
        <v>1901</v>
      </c>
      <c r="G100">
        <v>2021</v>
      </c>
      <c r="H100"/>
      <c r="I100">
        <v>1980</v>
      </c>
      <c r="J100">
        <v>1947</v>
      </c>
      <c r="K100">
        <v>2015</v>
      </c>
      <c r="L100">
        <v>1984</v>
      </c>
      <c r="M100"/>
      <c r="N100">
        <v>2001</v>
      </c>
      <c r="O100">
        <v>2007</v>
      </c>
      <c r="P100">
        <v>2007</v>
      </c>
      <c r="Q100"/>
      <c r="R100">
        <v>1857</v>
      </c>
      <c r="S100">
        <v>1802</v>
      </c>
      <c r="T100">
        <v>1670</v>
      </c>
      <c r="U100">
        <v>1650</v>
      </c>
      <c r="W100">
        <v>1521</v>
      </c>
      <c r="X100">
        <v>2029</v>
      </c>
      <c r="Y100">
        <v>2175</v>
      </c>
      <c r="AA100" s="219">
        <v>0.2</v>
      </c>
      <c r="AB100" s="219">
        <v>0.5</v>
      </c>
      <c r="AC100" s="219">
        <v>0.8</v>
      </c>
      <c r="AD100" s="216">
        <v>1691.2</v>
      </c>
    </row>
    <row r="101" spans="2:30" x14ac:dyDescent="0.2">
      <c r="B101" s="216">
        <f t="shared" si="2"/>
        <v>98</v>
      </c>
      <c r="C101" s="216">
        <f t="shared" si="3"/>
        <v>0.47115384615384615</v>
      </c>
      <c r="D101">
        <v>2076</v>
      </c>
      <c r="E101">
        <v>1606</v>
      </c>
      <c r="F101">
        <v>1911</v>
      </c>
      <c r="G101">
        <v>2026</v>
      </c>
      <c r="H101"/>
      <c r="I101">
        <v>1980</v>
      </c>
      <c r="J101">
        <v>1948</v>
      </c>
      <c r="K101">
        <v>2016</v>
      </c>
      <c r="L101">
        <v>1986</v>
      </c>
      <c r="M101"/>
      <c r="N101">
        <v>2001</v>
      </c>
      <c r="O101">
        <v>2007</v>
      </c>
      <c r="P101">
        <v>2008</v>
      </c>
      <c r="Q101"/>
      <c r="R101">
        <v>1859</v>
      </c>
      <c r="S101">
        <v>1803</v>
      </c>
      <c r="T101">
        <v>1673</v>
      </c>
      <c r="U101">
        <v>1650</v>
      </c>
      <c r="W101">
        <v>1521</v>
      </c>
      <c r="X101">
        <v>2029</v>
      </c>
      <c r="Y101">
        <v>2175</v>
      </c>
      <c r="AA101" s="219">
        <v>0.2</v>
      </c>
      <c r="AB101" s="219">
        <v>0.5</v>
      </c>
      <c r="AC101" s="219">
        <v>0.8</v>
      </c>
      <c r="AD101" s="220">
        <v>1698.4</v>
      </c>
    </row>
    <row r="102" spans="2:30" x14ac:dyDescent="0.2">
      <c r="B102" s="216">
        <f t="shared" si="2"/>
        <v>99</v>
      </c>
      <c r="C102" s="216">
        <f t="shared" si="3"/>
        <v>0.47596153846153844</v>
      </c>
      <c r="D102">
        <v>2076</v>
      </c>
      <c r="E102">
        <v>1620</v>
      </c>
      <c r="F102">
        <v>1917</v>
      </c>
      <c r="G102">
        <v>2026</v>
      </c>
      <c r="H102"/>
      <c r="I102">
        <v>1986</v>
      </c>
      <c r="J102">
        <v>1949</v>
      </c>
      <c r="K102">
        <v>2019</v>
      </c>
      <c r="L102">
        <v>1986</v>
      </c>
      <c r="M102"/>
      <c r="N102">
        <v>2001</v>
      </c>
      <c r="O102">
        <v>2008</v>
      </c>
      <c r="P102">
        <v>2008</v>
      </c>
      <c r="Q102"/>
      <c r="R102">
        <v>1859</v>
      </c>
      <c r="S102">
        <v>1808</v>
      </c>
      <c r="T102">
        <v>1675</v>
      </c>
      <c r="U102">
        <v>1651</v>
      </c>
      <c r="W102">
        <v>1521</v>
      </c>
      <c r="X102">
        <v>2029</v>
      </c>
      <c r="Y102">
        <v>2175</v>
      </c>
      <c r="AA102" s="219">
        <v>0.2</v>
      </c>
      <c r="AB102" s="219">
        <v>0.5</v>
      </c>
      <c r="AC102" s="219">
        <v>0.8</v>
      </c>
      <c r="AD102" s="220">
        <v>1705.6</v>
      </c>
    </row>
    <row r="103" spans="2:30" x14ac:dyDescent="0.2">
      <c r="B103" s="216">
        <f t="shared" si="2"/>
        <v>100</v>
      </c>
      <c r="C103" s="216">
        <f t="shared" si="3"/>
        <v>0.48076923076923078</v>
      </c>
      <c r="D103">
        <v>2076</v>
      </c>
      <c r="E103">
        <v>1621</v>
      </c>
      <c r="F103">
        <v>1920</v>
      </c>
      <c r="G103">
        <v>2027</v>
      </c>
      <c r="H103"/>
      <c r="I103">
        <v>1987</v>
      </c>
      <c r="J103">
        <v>1950</v>
      </c>
      <c r="K103">
        <v>2020</v>
      </c>
      <c r="L103">
        <v>1987</v>
      </c>
      <c r="M103"/>
      <c r="N103">
        <v>2001</v>
      </c>
      <c r="O103">
        <v>2008</v>
      </c>
      <c r="P103">
        <v>2009</v>
      </c>
      <c r="Q103"/>
      <c r="R103">
        <v>1867</v>
      </c>
      <c r="S103">
        <v>1808</v>
      </c>
      <c r="T103">
        <v>1676</v>
      </c>
      <c r="U103">
        <v>1653</v>
      </c>
      <c r="W103">
        <v>1521</v>
      </c>
      <c r="X103">
        <v>2029</v>
      </c>
      <c r="Y103">
        <v>2175</v>
      </c>
      <c r="AA103" s="219">
        <v>0.2</v>
      </c>
      <c r="AB103" s="219">
        <v>0.5</v>
      </c>
      <c r="AC103" s="219">
        <v>0.8</v>
      </c>
      <c r="AD103" s="216">
        <v>1712.8</v>
      </c>
    </row>
    <row r="104" spans="2:30" x14ac:dyDescent="0.2">
      <c r="B104" s="216">
        <f t="shared" si="2"/>
        <v>101</v>
      </c>
      <c r="C104" s="216">
        <f t="shared" si="3"/>
        <v>0.48557692307692307</v>
      </c>
      <c r="D104">
        <v>2078</v>
      </c>
      <c r="E104">
        <v>1623</v>
      </c>
      <c r="F104">
        <v>1921</v>
      </c>
      <c r="G104">
        <v>2028</v>
      </c>
      <c r="H104"/>
      <c r="I104">
        <v>1988</v>
      </c>
      <c r="J104">
        <v>1951</v>
      </c>
      <c r="K104">
        <v>2021</v>
      </c>
      <c r="L104">
        <v>1987</v>
      </c>
      <c r="M104"/>
      <c r="N104">
        <v>2002</v>
      </c>
      <c r="O104">
        <v>2008</v>
      </c>
      <c r="P104">
        <v>2009</v>
      </c>
      <c r="Q104"/>
      <c r="R104">
        <v>1871</v>
      </c>
      <c r="S104">
        <v>1810</v>
      </c>
      <c r="T104">
        <v>1676</v>
      </c>
      <c r="U104">
        <v>1653</v>
      </c>
      <c r="W104">
        <v>1521</v>
      </c>
      <c r="X104">
        <v>2029</v>
      </c>
      <c r="Y104">
        <v>2175</v>
      </c>
      <c r="AA104" s="219">
        <v>0.2</v>
      </c>
      <c r="AB104" s="219">
        <v>0.5</v>
      </c>
      <c r="AC104" s="219">
        <v>0.8</v>
      </c>
      <c r="AD104" s="220">
        <v>1720.00000000001</v>
      </c>
    </row>
    <row r="105" spans="2:30" x14ac:dyDescent="0.2">
      <c r="B105" s="216">
        <f t="shared" si="2"/>
        <v>102</v>
      </c>
      <c r="C105" s="216">
        <f t="shared" si="3"/>
        <v>0.49038461538461536</v>
      </c>
      <c r="D105">
        <v>2078</v>
      </c>
      <c r="E105">
        <v>1625</v>
      </c>
      <c r="F105">
        <v>1929</v>
      </c>
      <c r="G105">
        <v>2030</v>
      </c>
      <c r="H105"/>
      <c r="I105">
        <v>1988</v>
      </c>
      <c r="J105">
        <v>1952</v>
      </c>
      <c r="K105">
        <v>2028</v>
      </c>
      <c r="L105">
        <v>1989</v>
      </c>
      <c r="M105"/>
      <c r="N105">
        <v>2002</v>
      </c>
      <c r="O105">
        <v>2009</v>
      </c>
      <c r="P105">
        <v>2009</v>
      </c>
      <c r="Q105"/>
      <c r="R105">
        <v>1884</v>
      </c>
      <c r="S105">
        <v>1814</v>
      </c>
      <c r="T105">
        <v>1682</v>
      </c>
      <c r="U105">
        <v>1660</v>
      </c>
      <c r="W105">
        <v>1521</v>
      </c>
      <c r="X105">
        <v>2029</v>
      </c>
      <c r="Y105">
        <v>2175</v>
      </c>
      <c r="AA105" s="219">
        <v>0.2</v>
      </c>
      <c r="AB105" s="219">
        <v>0.5</v>
      </c>
      <c r="AC105" s="219">
        <v>0.8</v>
      </c>
      <c r="AD105" s="220">
        <v>1727.20000000001</v>
      </c>
    </row>
    <row r="106" spans="2:30" x14ac:dyDescent="0.2">
      <c r="B106" s="216">
        <f t="shared" si="2"/>
        <v>103</v>
      </c>
      <c r="C106" s="216">
        <f t="shared" si="3"/>
        <v>0.49519230769230771</v>
      </c>
      <c r="D106">
        <v>2079</v>
      </c>
      <c r="E106">
        <v>1626</v>
      </c>
      <c r="F106">
        <v>1942</v>
      </c>
      <c r="G106">
        <v>2030</v>
      </c>
      <c r="H106"/>
      <c r="I106">
        <v>1988</v>
      </c>
      <c r="J106">
        <v>1954</v>
      </c>
      <c r="K106">
        <v>2028</v>
      </c>
      <c r="L106">
        <v>1990</v>
      </c>
      <c r="M106"/>
      <c r="N106">
        <v>2002</v>
      </c>
      <c r="O106">
        <v>2009</v>
      </c>
      <c r="P106">
        <v>2009</v>
      </c>
      <c r="Q106"/>
      <c r="R106">
        <v>1893</v>
      </c>
      <c r="S106">
        <v>1817</v>
      </c>
      <c r="T106">
        <v>1686</v>
      </c>
      <c r="U106">
        <v>1660</v>
      </c>
      <c r="W106">
        <v>1521</v>
      </c>
      <c r="X106">
        <v>2029</v>
      </c>
      <c r="Y106">
        <v>2175</v>
      </c>
      <c r="AA106" s="219">
        <v>0.2</v>
      </c>
      <c r="AB106" s="219">
        <v>0.5</v>
      </c>
      <c r="AC106" s="219">
        <v>0.8</v>
      </c>
      <c r="AD106" s="216">
        <v>1734.4000000000101</v>
      </c>
    </row>
    <row r="107" spans="2:30" x14ac:dyDescent="0.2">
      <c r="B107" s="216">
        <f t="shared" si="2"/>
        <v>104</v>
      </c>
      <c r="C107" s="216">
        <f t="shared" si="3"/>
        <v>0.5</v>
      </c>
      <c r="D107">
        <v>2080</v>
      </c>
      <c r="E107">
        <v>1631</v>
      </c>
      <c r="F107">
        <v>1943</v>
      </c>
      <c r="G107">
        <v>2035</v>
      </c>
      <c r="H107"/>
      <c r="I107">
        <v>1990</v>
      </c>
      <c r="J107">
        <v>1959</v>
      </c>
      <c r="K107">
        <v>2029</v>
      </c>
      <c r="L107">
        <v>1991</v>
      </c>
      <c r="M107"/>
      <c r="N107">
        <v>2002</v>
      </c>
      <c r="O107">
        <v>2009</v>
      </c>
      <c r="P107">
        <v>2010</v>
      </c>
      <c r="Q107"/>
      <c r="R107">
        <v>1900</v>
      </c>
      <c r="S107">
        <v>1817</v>
      </c>
      <c r="T107">
        <v>1690</v>
      </c>
      <c r="U107">
        <v>1661</v>
      </c>
      <c r="W107">
        <v>1521</v>
      </c>
      <c r="X107">
        <v>2029</v>
      </c>
      <c r="Y107">
        <v>2175</v>
      </c>
      <c r="AA107" s="219">
        <v>0.2</v>
      </c>
      <c r="AB107" s="219">
        <v>0.5</v>
      </c>
      <c r="AC107" s="219">
        <v>0.8</v>
      </c>
      <c r="AD107" s="220">
        <v>1741.6</v>
      </c>
    </row>
    <row r="108" spans="2:30" x14ac:dyDescent="0.2">
      <c r="B108" s="216">
        <f t="shared" si="2"/>
        <v>105</v>
      </c>
      <c r="C108" s="216">
        <f t="shared" si="3"/>
        <v>0.50480769230769229</v>
      </c>
      <c r="D108">
        <v>2080</v>
      </c>
      <c r="E108">
        <v>1633</v>
      </c>
      <c r="F108">
        <v>1947</v>
      </c>
      <c r="G108">
        <v>2036</v>
      </c>
      <c r="H108"/>
      <c r="I108">
        <v>1991</v>
      </c>
      <c r="J108">
        <v>1961</v>
      </c>
      <c r="K108">
        <v>2030</v>
      </c>
      <c r="L108">
        <v>1994</v>
      </c>
      <c r="M108"/>
      <c r="N108">
        <v>2002</v>
      </c>
      <c r="O108">
        <v>2009</v>
      </c>
      <c r="P108">
        <v>2010</v>
      </c>
      <c r="Q108"/>
      <c r="R108">
        <v>1900</v>
      </c>
      <c r="S108">
        <v>1820</v>
      </c>
      <c r="T108">
        <v>1690</v>
      </c>
      <c r="U108">
        <v>1663</v>
      </c>
      <c r="W108">
        <v>1521</v>
      </c>
      <c r="X108">
        <v>2029</v>
      </c>
      <c r="Y108">
        <v>2175</v>
      </c>
      <c r="AA108" s="219">
        <v>0.2</v>
      </c>
      <c r="AB108" s="219">
        <v>0.5</v>
      </c>
      <c r="AC108" s="219">
        <v>0.8</v>
      </c>
      <c r="AD108" s="220">
        <v>1748.8</v>
      </c>
    </row>
    <row r="109" spans="2:30" x14ac:dyDescent="0.2">
      <c r="B109" s="216">
        <f t="shared" si="2"/>
        <v>106</v>
      </c>
      <c r="C109" s="216">
        <f t="shared" si="3"/>
        <v>0.50961538461538458</v>
      </c>
      <c r="D109">
        <v>2080</v>
      </c>
      <c r="E109">
        <v>1635</v>
      </c>
      <c r="F109">
        <v>1948</v>
      </c>
      <c r="G109">
        <v>2041</v>
      </c>
      <c r="H109"/>
      <c r="I109">
        <v>1991</v>
      </c>
      <c r="J109">
        <v>1961</v>
      </c>
      <c r="K109">
        <v>2032</v>
      </c>
      <c r="L109">
        <v>1998</v>
      </c>
      <c r="M109"/>
      <c r="N109">
        <v>2002</v>
      </c>
      <c r="O109">
        <v>2009</v>
      </c>
      <c r="P109">
        <v>2011</v>
      </c>
      <c r="Q109"/>
      <c r="R109">
        <v>1900</v>
      </c>
      <c r="S109">
        <v>1820</v>
      </c>
      <c r="T109">
        <v>1696</v>
      </c>
      <c r="U109">
        <v>1666</v>
      </c>
      <c r="W109">
        <v>1521</v>
      </c>
      <c r="X109">
        <v>2029</v>
      </c>
      <c r="Y109">
        <v>2175</v>
      </c>
      <c r="AA109" s="219">
        <v>0.2</v>
      </c>
      <c r="AB109" s="219">
        <v>0.5</v>
      </c>
      <c r="AC109" s="219">
        <v>0.8</v>
      </c>
      <c r="AD109" s="216">
        <v>1756.00000000001</v>
      </c>
    </row>
    <row r="110" spans="2:30" x14ac:dyDescent="0.2">
      <c r="B110" s="216">
        <f t="shared" si="2"/>
        <v>107</v>
      </c>
      <c r="C110" s="216">
        <f t="shared" si="3"/>
        <v>0.51442307692307687</v>
      </c>
      <c r="D110">
        <v>2081</v>
      </c>
      <c r="E110">
        <v>1636</v>
      </c>
      <c r="F110">
        <v>1953</v>
      </c>
      <c r="G110">
        <v>2042</v>
      </c>
      <c r="H110"/>
      <c r="I110">
        <v>1992</v>
      </c>
      <c r="J110">
        <v>1961</v>
      </c>
      <c r="K110">
        <v>2035</v>
      </c>
      <c r="L110">
        <v>1999</v>
      </c>
      <c r="M110"/>
      <c r="N110">
        <v>2002</v>
      </c>
      <c r="O110">
        <v>2010</v>
      </c>
      <c r="P110">
        <v>2012</v>
      </c>
      <c r="Q110"/>
      <c r="R110">
        <v>1901</v>
      </c>
      <c r="S110">
        <v>1820</v>
      </c>
      <c r="T110">
        <v>1700</v>
      </c>
      <c r="U110">
        <v>1670</v>
      </c>
      <c r="W110">
        <v>1521</v>
      </c>
      <c r="X110">
        <v>2029</v>
      </c>
      <c r="Y110">
        <v>2175</v>
      </c>
      <c r="AA110" s="219">
        <v>0.2</v>
      </c>
      <c r="AB110" s="219">
        <v>0.5</v>
      </c>
      <c r="AC110" s="219">
        <v>0.8</v>
      </c>
      <c r="AD110" s="220">
        <v>1763.20000000001</v>
      </c>
    </row>
    <row r="111" spans="2:30" x14ac:dyDescent="0.2">
      <c r="B111" s="216">
        <f t="shared" si="2"/>
        <v>108</v>
      </c>
      <c r="C111" s="216">
        <f t="shared" si="3"/>
        <v>0.51923076923076927</v>
      </c>
      <c r="D111">
        <v>2082</v>
      </c>
      <c r="E111">
        <v>1648</v>
      </c>
      <c r="F111">
        <v>1954</v>
      </c>
      <c r="G111">
        <v>2043</v>
      </c>
      <c r="H111"/>
      <c r="I111">
        <v>1993</v>
      </c>
      <c r="J111">
        <v>1961</v>
      </c>
      <c r="K111">
        <v>2037</v>
      </c>
      <c r="L111">
        <v>2000</v>
      </c>
      <c r="M111"/>
      <c r="N111">
        <v>2002</v>
      </c>
      <c r="O111">
        <v>2010</v>
      </c>
      <c r="P111">
        <v>2013</v>
      </c>
      <c r="Q111"/>
      <c r="R111">
        <v>1903</v>
      </c>
      <c r="S111">
        <v>1824</v>
      </c>
      <c r="T111">
        <v>1702</v>
      </c>
      <c r="U111">
        <v>1685</v>
      </c>
      <c r="W111">
        <v>1521</v>
      </c>
      <c r="X111">
        <v>2029</v>
      </c>
      <c r="Y111">
        <v>2175</v>
      </c>
      <c r="AA111" s="219">
        <v>0.2</v>
      </c>
      <c r="AB111" s="219">
        <v>0.5</v>
      </c>
      <c r="AC111" s="219">
        <v>0.8</v>
      </c>
      <c r="AD111" s="220">
        <v>1770.4000000000101</v>
      </c>
    </row>
    <row r="112" spans="2:30" x14ac:dyDescent="0.2">
      <c r="B112" s="216">
        <f t="shared" si="2"/>
        <v>109</v>
      </c>
      <c r="C112" s="216">
        <f t="shared" si="3"/>
        <v>0.52403846153846156</v>
      </c>
      <c r="D112">
        <v>2082</v>
      </c>
      <c r="E112">
        <v>1650</v>
      </c>
      <c r="F112">
        <v>1959</v>
      </c>
      <c r="G112">
        <v>2045</v>
      </c>
      <c r="H112"/>
      <c r="I112">
        <v>1994</v>
      </c>
      <c r="J112">
        <v>1964</v>
      </c>
      <c r="K112">
        <v>2038</v>
      </c>
      <c r="L112">
        <v>2001</v>
      </c>
      <c r="M112"/>
      <c r="N112">
        <v>2002</v>
      </c>
      <c r="O112">
        <v>2011</v>
      </c>
      <c r="P112">
        <v>2013</v>
      </c>
      <c r="Q112"/>
      <c r="R112">
        <v>1905</v>
      </c>
      <c r="S112">
        <v>1825</v>
      </c>
      <c r="T112">
        <v>1703</v>
      </c>
      <c r="U112">
        <v>1685</v>
      </c>
      <c r="W112">
        <v>1521</v>
      </c>
      <c r="X112">
        <v>2029</v>
      </c>
      <c r="Y112">
        <v>2175</v>
      </c>
      <c r="AA112" s="219">
        <v>0.2</v>
      </c>
      <c r="AB112" s="219">
        <v>0.5</v>
      </c>
      <c r="AC112" s="219">
        <v>0.8</v>
      </c>
      <c r="AD112" s="216">
        <v>1777.6</v>
      </c>
    </row>
    <row r="113" spans="2:30" x14ac:dyDescent="0.2">
      <c r="B113" s="216">
        <f t="shared" si="2"/>
        <v>110</v>
      </c>
      <c r="C113" s="216">
        <f t="shared" si="3"/>
        <v>0.52884615384615385</v>
      </c>
      <c r="D113">
        <v>2082</v>
      </c>
      <c r="E113">
        <v>1655</v>
      </c>
      <c r="F113">
        <v>1959</v>
      </c>
      <c r="G113">
        <v>2046</v>
      </c>
      <c r="H113"/>
      <c r="I113">
        <v>1994</v>
      </c>
      <c r="J113">
        <v>1965</v>
      </c>
      <c r="K113">
        <v>2038</v>
      </c>
      <c r="L113">
        <v>2001</v>
      </c>
      <c r="M113"/>
      <c r="N113">
        <v>2002</v>
      </c>
      <c r="O113">
        <v>2012</v>
      </c>
      <c r="P113">
        <v>2013</v>
      </c>
      <c r="Q113"/>
      <c r="R113">
        <v>1905</v>
      </c>
      <c r="S113">
        <v>1827</v>
      </c>
      <c r="T113">
        <v>1703</v>
      </c>
      <c r="U113">
        <v>1686</v>
      </c>
      <c r="W113">
        <v>1521</v>
      </c>
      <c r="X113">
        <v>2029</v>
      </c>
      <c r="Y113">
        <v>2175</v>
      </c>
      <c r="AA113" s="219">
        <v>0.2</v>
      </c>
      <c r="AB113" s="219">
        <v>0.5</v>
      </c>
      <c r="AC113" s="219">
        <v>0.8</v>
      </c>
      <c r="AD113" s="220">
        <v>1784.8</v>
      </c>
    </row>
    <row r="114" spans="2:30" x14ac:dyDescent="0.2">
      <c r="B114" s="216">
        <f t="shared" si="2"/>
        <v>111</v>
      </c>
      <c r="C114" s="216">
        <f t="shared" si="3"/>
        <v>0.53365384615384615</v>
      </c>
      <c r="D114">
        <v>2082</v>
      </c>
      <c r="E114">
        <v>1658</v>
      </c>
      <c r="F114">
        <v>1960</v>
      </c>
      <c r="G114">
        <v>2046</v>
      </c>
      <c r="H114"/>
      <c r="I114">
        <v>1994</v>
      </c>
      <c r="J114">
        <v>1967</v>
      </c>
      <c r="K114">
        <v>2040</v>
      </c>
      <c r="L114">
        <v>2001</v>
      </c>
      <c r="M114"/>
      <c r="N114">
        <v>2002</v>
      </c>
      <c r="O114">
        <v>2012</v>
      </c>
      <c r="P114">
        <v>2015</v>
      </c>
      <c r="Q114"/>
      <c r="R114">
        <v>1907</v>
      </c>
      <c r="S114">
        <v>1827</v>
      </c>
      <c r="T114">
        <v>1703</v>
      </c>
      <c r="U114">
        <v>1688</v>
      </c>
      <c r="W114">
        <v>1521</v>
      </c>
      <c r="X114">
        <v>2029</v>
      </c>
      <c r="Y114">
        <v>2175</v>
      </c>
      <c r="AA114" s="219">
        <v>0.2</v>
      </c>
      <c r="AB114" s="219">
        <v>0.5</v>
      </c>
      <c r="AC114" s="219">
        <v>0.8</v>
      </c>
      <c r="AD114" s="220">
        <v>1792.00000000001</v>
      </c>
    </row>
    <row r="115" spans="2:30" x14ac:dyDescent="0.2">
      <c r="B115" s="216">
        <f t="shared" si="2"/>
        <v>112</v>
      </c>
      <c r="C115" s="216">
        <f t="shared" si="3"/>
        <v>0.53846153846153844</v>
      </c>
      <c r="D115">
        <v>2083</v>
      </c>
      <c r="E115">
        <v>1663</v>
      </c>
      <c r="F115">
        <v>1965</v>
      </c>
      <c r="G115">
        <v>2048</v>
      </c>
      <c r="H115"/>
      <c r="I115">
        <v>1997</v>
      </c>
      <c r="J115">
        <v>1967</v>
      </c>
      <c r="K115">
        <v>2041</v>
      </c>
      <c r="L115">
        <v>2001</v>
      </c>
      <c r="M115"/>
      <c r="N115">
        <v>2002</v>
      </c>
      <c r="O115">
        <v>2013</v>
      </c>
      <c r="P115">
        <v>2015</v>
      </c>
      <c r="Q115"/>
      <c r="R115">
        <v>1907</v>
      </c>
      <c r="S115">
        <v>1833</v>
      </c>
      <c r="T115">
        <v>1712</v>
      </c>
      <c r="U115">
        <v>1688</v>
      </c>
      <c r="W115">
        <v>1521</v>
      </c>
      <c r="X115">
        <v>2029</v>
      </c>
      <c r="Y115">
        <v>2175</v>
      </c>
      <c r="AA115" s="219">
        <v>0.2</v>
      </c>
      <c r="AB115" s="219">
        <v>0.5</v>
      </c>
      <c r="AC115" s="219">
        <v>0.8</v>
      </c>
      <c r="AD115" s="216">
        <v>1799.20000000001</v>
      </c>
    </row>
    <row r="116" spans="2:30" x14ac:dyDescent="0.2">
      <c r="B116" s="216">
        <f t="shared" si="2"/>
        <v>113</v>
      </c>
      <c r="C116" s="216">
        <f t="shared" si="3"/>
        <v>0.54326923076923073</v>
      </c>
      <c r="D116">
        <v>2083</v>
      </c>
      <c r="E116">
        <v>1670</v>
      </c>
      <c r="F116">
        <v>1965</v>
      </c>
      <c r="G116">
        <v>2051</v>
      </c>
      <c r="H116"/>
      <c r="I116">
        <v>1997</v>
      </c>
      <c r="J116">
        <v>1967</v>
      </c>
      <c r="K116">
        <v>2041</v>
      </c>
      <c r="L116">
        <v>2003</v>
      </c>
      <c r="M116"/>
      <c r="N116">
        <v>2002</v>
      </c>
      <c r="O116">
        <v>2015</v>
      </c>
      <c r="P116">
        <v>2016</v>
      </c>
      <c r="Q116"/>
      <c r="R116">
        <v>1920</v>
      </c>
      <c r="S116">
        <v>1837</v>
      </c>
      <c r="T116">
        <v>1713</v>
      </c>
      <c r="U116">
        <v>1690</v>
      </c>
      <c r="W116">
        <v>1521</v>
      </c>
      <c r="X116">
        <v>2029</v>
      </c>
      <c r="Y116">
        <v>2175</v>
      </c>
      <c r="AA116" s="219">
        <v>0.2</v>
      </c>
      <c r="AB116" s="219">
        <v>0.5</v>
      </c>
      <c r="AC116" s="219">
        <v>0.8</v>
      </c>
      <c r="AD116" s="220">
        <v>1806.4000000000101</v>
      </c>
    </row>
    <row r="117" spans="2:30" x14ac:dyDescent="0.2">
      <c r="B117" s="216">
        <f t="shared" si="2"/>
        <v>114</v>
      </c>
      <c r="C117" s="216">
        <f t="shared" si="3"/>
        <v>0.54807692307692313</v>
      </c>
      <c r="D117">
        <v>2085</v>
      </c>
      <c r="E117">
        <v>1670</v>
      </c>
      <c r="F117">
        <v>1967</v>
      </c>
      <c r="G117">
        <v>2051</v>
      </c>
      <c r="H117"/>
      <c r="I117">
        <v>1999</v>
      </c>
      <c r="J117">
        <v>1969</v>
      </c>
      <c r="K117">
        <v>2041</v>
      </c>
      <c r="L117">
        <v>2004</v>
      </c>
      <c r="M117"/>
      <c r="N117">
        <v>2003</v>
      </c>
      <c r="O117">
        <v>2015</v>
      </c>
      <c r="P117">
        <v>2016</v>
      </c>
      <c r="Q117"/>
      <c r="R117">
        <v>1921</v>
      </c>
      <c r="S117">
        <v>1837</v>
      </c>
      <c r="T117">
        <v>1717</v>
      </c>
      <c r="U117">
        <v>1690</v>
      </c>
      <c r="W117">
        <v>1521</v>
      </c>
      <c r="X117">
        <v>2029</v>
      </c>
      <c r="Y117">
        <v>2175</v>
      </c>
      <c r="AA117" s="219">
        <v>0.2</v>
      </c>
      <c r="AB117" s="219">
        <v>0.5</v>
      </c>
      <c r="AC117" s="219">
        <v>0.8</v>
      </c>
      <c r="AD117" s="220">
        <v>1813.6</v>
      </c>
    </row>
    <row r="118" spans="2:30" x14ac:dyDescent="0.2">
      <c r="B118" s="216">
        <f t="shared" si="2"/>
        <v>115</v>
      </c>
      <c r="C118" s="216">
        <f t="shared" si="3"/>
        <v>0.55288461538461542</v>
      </c>
      <c r="D118">
        <v>2085</v>
      </c>
      <c r="E118">
        <v>1673</v>
      </c>
      <c r="F118">
        <v>1972</v>
      </c>
      <c r="G118">
        <v>2051</v>
      </c>
      <c r="H118"/>
      <c r="I118">
        <v>1999</v>
      </c>
      <c r="J118">
        <v>1969</v>
      </c>
      <c r="K118">
        <v>2046</v>
      </c>
      <c r="L118">
        <v>2006</v>
      </c>
      <c r="M118"/>
      <c r="N118">
        <v>2003</v>
      </c>
      <c r="O118">
        <v>2015</v>
      </c>
      <c r="P118">
        <v>2018</v>
      </c>
      <c r="Q118"/>
      <c r="R118">
        <v>1923</v>
      </c>
      <c r="S118">
        <v>1843</v>
      </c>
      <c r="T118">
        <v>1720</v>
      </c>
      <c r="U118">
        <v>1692</v>
      </c>
      <c r="W118">
        <v>1521</v>
      </c>
      <c r="X118">
        <v>2029</v>
      </c>
      <c r="Y118">
        <v>2175</v>
      </c>
      <c r="AA118" s="219">
        <v>0.2</v>
      </c>
      <c r="AB118" s="219">
        <v>0.5</v>
      </c>
      <c r="AC118" s="219">
        <v>0.8</v>
      </c>
      <c r="AD118" s="216">
        <v>1820.8</v>
      </c>
    </row>
    <row r="119" spans="2:30" x14ac:dyDescent="0.2">
      <c r="B119" s="216">
        <f t="shared" si="2"/>
        <v>116</v>
      </c>
      <c r="C119" s="216">
        <f t="shared" si="3"/>
        <v>0.55769230769230771</v>
      </c>
      <c r="D119">
        <v>2087</v>
      </c>
      <c r="E119">
        <v>1681</v>
      </c>
      <c r="F119">
        <v>1978</v>
      </c>
      <c r="G119">
        <v>2059</v>
      </c>
      <c r="H119"/>
      <c r="I119">
        <v>2000</v>
      </c>
      <c r="J119">
        <v>1970</v>
      </c>
      <c r="K119">
        <v>2048</v>
      </c>
      <c r="L119">
        <v>2006</v>
      </c>
      <c r="M119"/>
      <c r="N119">
        <v>2003</v>
      </c>
      <c r="O119">
        <v>2016</v>
      </c>
      <c r="P119">
        <v>2018</v>
      </c>
      <c r="Q119"/>
      <c r="R119">
        <v>1927</v>
      </c>
      <c r="S119">
        <v>1857</v>
      </c>
      <c r="T119">
        <v>1722</v>
      </c>
      <c r="U119">
        <v>1693</v>
      </c>
      <c r="W119">
        <v>1521</v>
      </c>
      <c r="X119">
        <v>2029</v>
      </c>
      <c r="Y119">
        <v>2175</v>
      </c>
      <c r="AA119" s="219">
        <v>0.2</v>
      </c>
      <c r="AB119" s="219">
        <v>0.5</v>
      </c>
      <c r="AC119" s="219">
        <v>0.8</v>
      </c>
      <c r="AD119" s="220">
        <v>1828.00000000001</v>
      </c>
    </row>
    <row r="120" spans="2:30" x14ac:dyDescent="0.2">
      <c r="B120" s="216">
        <f t="shared" si="2"/>
        <v>117</v>
      </c>
      <c r="C120" s="216">
        <f t="shared" si="3"/>
        <v>0.5625</v>
      </c>
      <c r="D120">
        <v>2087</v>
      </c>
      <c r="E120">
        <v>1686</v>
      </c>
      <c r="F120">
        <v>1978</v>
      </c>
      <c r="G120">
        <v>2060</v>
      </c>
      <c r="H120"/>
      <c r="I120">
        <v>2000</v>
      </c>
      <c r="J120">
        <v>1970</v>
      </c>
      <c r="K120">
        <v>2050</v>
      </c>
      <c r="L120">
        <v>2006</v>
      </c>
      <c r="M120"/>
      <c r="N120">
        <v>2004</v>
      </c>
      <c r="O120">
        <v>2018</v>
      </c>
      <c r="P120">
        <v>2021</v>
      </c>
      <c r="Q120"/>
      <c r="R120">
        <v>1940</v>
      </c>
      <c r="S120">
        <v>1860</v>
      </c>
      <c r="T120">
        <v>1735</v>
      </c>
      <c r="U120">
        <v>1696</v>
      </c>
      <c r="W120">
        <v>1521</v>
      </c>
      <c r="X120">
        <v>2029</v>
      </c>
      <c r="Y120">
        <v>2175</v>
      </c>
      <c r="AA120" s="219">
        <v>0.2</v>
      </c>
      <c r="AB120" s="219">
        <v>0.5</v>
      </c>
      <c r="AC120" s="219">
        <v>0.8</v>
      </c>
      <c r="AD120" s="220">
        <v>1835.20000000001</v>
      </c>
    </row>
    <row r="121" spans="2:30" x14ac:dyDescent="0.2">
      <c r="B121" s="216">
        <f t="shared" si="2"/>
        <v>118</v>
      </c>
      <c r="C121" s="216">
        <f t="shared" si="3"/>
        <v>0.56730769230769229</v>
      </c>
      <c r="D121">
        <v>2088</v>
      </c>
      <c r="E121">
        <v>1691</v>
      </c>
      <c r="F121">
        <v>1980</v>
      </c>
      <c r="G121">
        <v>2066</v>
      </c>
      <c r="H121"/>
      <c r="I121">
        <v>2000</v>
      </c>
      <c r="J121">
        <v>1971</v>
      </c>
      <c r="K121">
        <v>2053</v>
      </c>
      <c r="L121">
        <v>2007</v>
      </c>
      <c r="M121"/>
      <c r="N121">
        <v>2004</v>
      </c>
      <c r="O121">
        <v>2019</v>
      </c>
      <c r="P121">
        <v>2026</v>
      </c>
      <c r="Q121"/>
      <c r="R121">
        <v>1942</v>
      </c>
      <c r="S121">
        <v>1869</v>
      </c>
      <c r="T121">
        <v>1737</v>
      </c>
      <c r="U121">
        <v>1697</v>
      </c>
      <c r="W121">
        <v>1521</v>
      </c>
      <c r="X121">
        <v>2029</v>
      </c>
      <c r="Y121">
        <v>2175</v>
      </c>
      <c r="AA121" s="219">
        <v>0.2</v>
      </c>
      <c r="AB121" s="219">
        <v>0.5</v>
      </c>
      <c r="AC121" s="219">
        <v>0.8</v>
      </c>
      <c r="AD121" s="216">
        <v>1842.4000000000101</v>
      </c>
    </row>
    <row r="122" spans="2:30" x14ac:dyDescent="0.2">
      <c r="B122" s="216">
        <f t="shared" si="2"/>
        <v>119</v>
      </c>
      <c r="C122" s="216">
        <f t="shared" si="3"/>
        <v>0.57211538461538458</v>
      </c>
      <c r="D122">
        <v>2088</v>
      </c>
      <c r="E122">
        <v>1695</v>
      </c>
      <c r="F122">
        <v>1991</v>
      </c>
      <c r="G122">
        <v>2071</v>
      </c>
      <c r="H122"/>
      <c r="I122">
        <v>2000</v>
      </c>
      <c r="J122">
        <v>1971</v>
      </c>
      <c r="K122">
        <v>2055</v>
      </c>
      <c r="L122">
        <v>2007</v>
      </c>
      <c r="M122"/>
      <c r="N122">
        <v>2004</v>
      </c>
      <c r="O122">
        <v>2020</v>
      </c>
      <c r="P122">
        <v>2028</v>
      </c>
      <c r="Q122"/>
      <c r="R122">
        <v>1950</v>
      </c>
      <c r="S122">
        <v>1870</v>
      </c>
      <c r="T122">
        <v>1740</v>
      </c>
      <c r="U122">
        <v>1698</v>
      </c>
      <c r="W122">
        <v>1521</v>
      </c>
      <c r="X122">
        <v>2029</v>
      </c>
      <c r="Y122">
        <v>2175</v>
      </c>
      <c r="AA122" s="219">
        <v>0.2</v>
      </c>
      <c r="AB122" s="219">
        <v>0.5</v>
      </c>
      <c r="AC122" s="219">
        <v>0.8</v>
      </c>
      <c r="AD122" s="220">
        <v>1849.6</v>
      </c>
    </row>
    <row r="123" spans="2:30" x14ac:dyDescent="0.2">
      <c r="B123" s="216">
        <f t="shared" si="2"/>
        <v>120</v>
      </c>
      <c r="C123" s="216">
        <f t="shared" si="3"/>
        <v>0.57692307692307687</v>
      </c>
      <c r="D123">
        <v>2089</v>
      </c>
      <c r="E123">
        <v>1700</v>
      </c>
      <c r="F123">
        <v>1996</v>
      </c>
      <c r="G123">
        <v>2073</v>
      </c>
      <c r="H123"/>
      <c r="I123">
        <v>2000</v>
      </c>
      <c r="J123">
        <v>1972</v>
      </c>
      <c r="K123">
        <v>2056</v>
      </c>
      <c r="L123">
        <v>2009</v>
      </c>
      <c r="M123"/>
      <c r="N123">
        <v>2004</v>
      </c>
      <c r="O123">
        <v>2020</v>
      </c>
      <c r="P123">
        <v>2029</v>
      </c>
      <c r="Q123"/>
      <c r="R123">
        <v>1951</v>
      </c>
      <c r="S123">
        <v>1871</v>
      </c>
      <c r="T123">
        <v>1743</v>
      </c>
      <c r="U123">
        <v>1700</v>
      </c>
      <c r="W123">
        <v>1521</v>
      </c>
      <c r="X123">
        <v>2029</v>
      </c>
      <c r="Y123">
        <v>2175</v>
      </c>
      <c r="AA123" s="219">
        <v>0.2</v>
      </c>
      <c r="AB123" s="219">
        <v>0.5</v>
      </c>
      <c r="AC123" s="219">
        <v>0.8</v>
      </c>
      <c r="AD123" s="220">
        <v>1856.8</v>
      </c>
    </row>
    <row r="124" spans="2:30" x14ac:dyDescent="0.2">
      <c r="B124" s="216">
        <f t="shared" si="2"/>
        <v>121</v>
      </c>
      <c r="C124" s="216">
        <f t="shared" si="3"/>
        <v>0.58173076923076927</v>
      </c>
      <c r="D124">
        <v>2092</v>
      </c>
      <c r="E124">
        <v>1700</v>
      </c>
      <c r="F124">
        <v>1998</v>
      </c>
      <c r="G124">
        <v>2075</v>
      </c>
      <c r="H124"/>
      <c r="I124">
        <v>2001</v>
      </c>
      <c r="J124">
        <v>1973</v>
      </c>
      <c r="K124">
        <v>2060</v>
      </c>
      <c r="L124">
        <v>2010</v>
      </c>
      <c r="M124"/>
      <c r="N124">
        <v>2004</v>
      </c>
      <c r="O124">
        <v>2021</v>
      </c>
      <c r="P124">
        <v>2029</v>
      </c>
      <c r="Q124"/>
      <c r="R124">
        <v>1960</v>
      </c>
      <c r="S124">
        <v>1875</v>
      </c>
      <c r="T124">
        <v>1743</v>
      </c>
      <c r="U124">
        <v>1700</v>
      </c>
      <c r="W124">
        <v>1521</v>
      </c>
      <c r="X124">
        <v>2029</v>
      </c>
      <c r="Y124">
        <v>2175</v>
      </c>
      <c r="AA124" s="219">
        <v>0.2</v>
      </c>
      <c r="AB124" s="219">
        <v>0.5</v>
      </c>
      <c r="AC124" s="219">
        <v>0.8</v>
      </c>
      <c r="AD124" s="216">
        <v>1864.00000000001</v>
      </c>
    </row>
    <row r="125" spans="2:30" x14ac:dyDescent="0.2">
      <c r="B125" s="216">
        <f t="shared" si="2"/>
        <v>122</v>
      </c>
      <c r="C125" s="216">
        <f t="shared" si="3"/>
        <v>0.58653846153846156</v>
      </c>
      <c r="D125">
        <v>2092</v>
      </c>
      <c r="E125">
        <v>1703</v>
      </c>
      <c r="F125">
        <v>2000</v>
      </c>
      <c r="G125">
        <v>2077</v>
      </c>
      <c r="H125"/>
      <c r="I125">
        <v>2001</v>
      </c>
      <c r="J125">
        <v>1973</v>
      </c>
      <c r="K125">
        <v>2063</v>
      </c>
      <c r="L125">
        <v>2010</v>
      </c>
      <c r="M125"/>
      <c r="N125">
        <v>2004</v>
      </c>
      <c r="O125">
        <v>2022</v>
      </c>
      <c r="P125">
        <v>2031</v>
      </c>
      <c r="Q125"/>
      <c r="R125">
        <v>1960</v>
      </c>
      <c r="S125">
        <v>1877</v>
      </c>
      <c r="T125">
        <v>1747</v>
      </c>
      <c r="U125">
        <v>1700</v>
      </c>
      <c r="W125">
        <v>1521</v>
      </c>
      <c r="X125">
        <v>2029</v>
      </c>
      <c r="Y125">
        <v>2175</v>
      </c>
      <c r="AA125" s="219">
        <v>0.2</v>
      </c>
      <c r="AB125" s="219">
        <v>0.5</v>
      </c>
      <c r="AC125" s="219">
        <v>0.8</v>
      </c>
      <c r="AD125" s="220">
        <v>1871.20000000001</v>
      </c>
    </row>
    <row r="126" spans="2:30" x14ac:dyDescent="0.2">
      <c r="B126" s="216">
        <f t="shared" si="2"/>
        <v>123</v>
      </c>
      <c r="C126" s="216">
        <f t="shared" si="3"/>
        <v>0.59134615384615385</v>
      </c>
      <c r="D126">
        <v>2092</v>
      </c>
      <c r="E126">
        <v>1713</v>
      </c>
      <c r="F126">
        <v>2000</v>
      </c>
      <c r="G126">
        <v>2078</v>
      </c>
      <c r="H126"/>
      <c r="I126">
        <v>2001</v>
      </c>
      <c r="J126">
        <v>1976</v>
      </c>
      <c r="K126">
        <v>2075</v>
      </c>
      <c r="L126">
        <v>2010</v>
      </c>
      <c r="M126"/>
      <c r="N126">
        <v>2005</v>
      </c>
      <c r="O126">
        <v>2022</v>
      </c>
      <c r="P126">
        <v>2031</v>
      </c>
      <c r="Q126"/>
      <c r="R126">
        <v>1969</v>
      </c>
      <c r="S126">
        <v>1882</v>
      </c>
      <c r="T126">
        <v>1748</v>
      </c>
      <c r="U126">
        <v>1703</v>
      </c>
      <c r="W126">
        <v>1521</v>
      </c>
      <c r="X126">
        <v>2029</v>
      </c>
      <c r="Y126">
        <v>2175</v>
      </c>
      <c r="AA126" s="219">
        <v>0.2</v>
      </c>
      <c r="AB126" s="219">
        <v>0.5</v>
      </c>
      <c r="AC126" s="219">
        <v>0.8</v>
      </c>
      <c r="AD126" s="220">
        <v>1878.4000000000101</v>
      </c>
    </row>
    <row r="127" spans="2:30" x14ac:dyDescent="0.2">
      <c r="B127" s="216">
        <f t="shared" si="2"/>
        <v>124</v>
      </c>
      <c r="C127" s="216">
        <f t="shared" si="3"/>
        <v>0.59615384615384615</v>
      </c>
      <c r="D127">
        <v>2092</v>
      </c>
      <c r="E127">
        <v>1723</v>
      </c>
      <c r="F127">
        <v>2000</v>
      </c>
      <c r="G127">
        <v>2082</v>
      </c>
      <c r="H127"/>
      <c r="I127">
        <v>2001</v>
      </c>
      <c r="J127">
        <v>1977</v>
      </c>
      <c r="K127">
        <v>2076</v>
      </c>
      <c r="L127">
        <v>2011</v>
      </c>
      <c r="M127"/>
      <c r="N127">
        <v>2006</v>
      </c>
      <c r="O127">
        <v>2022</v>
      </c>
      <c r="P127">
        <v>2031</v>
      </c>
      <c r="Q127"/>
      <c r="R127">
        <v>1978</v>
      </c>
      <c r="S127">
        <v>1884</v>
      </c>
      <c r="T127">
        <v>1752</v>
      </c>
      <c r="U127">
        <v>1703</v>
      </c>
      <c r="W127">
        <v>1521</v>
      </c>
      <c r="X127">
        <v>2029</v>
      </c>
      <c r="Y127">
        <v>2175</v>
      </c>
      <c r="AA127" s="219">
        <v>0.2</v>
      </c>
      <c r="AB127" s="219">
        <v>0.5</v>
      </c>
      <c r="AC127" s="219">
        <v>0.8</v>
      </c>
      <c r="AD127" s="216">
        <v>1885.6000000000099</v>
      </c>
    </row>
    <row r="128" spans="2:30" x14ac:dyDescent="0.2">
      <c r="B128" s="216">
        <f t="shared" si="2"/>
        <v>125</v>
      </c>
      <c r="C128" s="216">
        <f t="shared" si="3"/>
        <v>0.60096153846153844</v>
      </c>
      <c r="D128">
        <v>2093</v>
      </c>
      <c r="E128">
        <v>1723</v>
      </c>
      <c r="F128">
        <v>2001</v>
      </c>
      <c r="G128">
        <v>2082</v>
      </c>
      <c r="H128"/>
      <c r="I128">
        <v>2001</v>
      </c>
      <c r="J128">
        <v>1978</v>
      </c>
      <c r="K128">
        <v>2079</v>
      </c>
      <c r="L128">
        <v>2015</v>
      </c>
      <c r="M128"/>
      <c r="N128">
        <v>2007</v>
      </c>
      <c r="O128">
        <v>2022</v>
      </c>
      <c r="P128">
        <v>2032</v>
      </c>
      <c r="Q128"/>
      <c r="R128">
        <v>1980</v>
      </c>
      <c r="S128">
        <v>1887</v>
      </c>
      <c r="T128">
        <v>1752</v>
      </c>
      <c r="U128">
        <v>1703</v>
      </c>
      <c r="W128">
        <v>1521</v>
      </c>
      <c r="X128">
        <v>2029</v>
      </c>
      <c r="Y128">
        <v>2175</v>
      </c>
      <c r="AA128" s="219">
        <v>0.2</v>
      </c>
      <c r="AB128" s="219">
        <v>0.5</v>
      </c>
      <c r="AC128" s="219">
        <v>0.8</v>
      </c>
      <c r="AD128" s="220">
        <v>1892.80000000001</v>
      </c>
    </row>
    <row r="129" spans="2:30" x14ac:dyDescent="0.2">
      <c r="B129" s="216">
        <f t="shared" si="2"/>
        <v>126</v>
      </c>
      <c r="C129" s="216">
        <f t="shared" si="3"/>
        <v>0.60576923076923073</v>
      </c>
      <c r="D129">
        <v>2095</v>
      </c>
      <c r="E129">
        <v>1725</v>
      </c>
      <c r="F129">
        <v>2001</v>
      </c>
      <c r="G129">
        <v>2092</v>
      </c>
      <c r="H129"/>
      <c r="I129">
        <v>2001</v>
      </c>
      <c r="J129">
        <v>1978</v>
      </c>
      <c r="K129">
        <v>2081</v>
      </c>
      <c r="L129">
        <v>2020</v>
      </c>
      <c r="M129"/>
      <c r="N129">
        <v>2008</v>
      </c>
      <c r="O129">
        <v>2025</v>
      </c>
      <c r="P129">
        <v>2032</v>
      </c>
      <c r="Q129"/>
      <c r="R129">
        <v>1983</v>
      </c>
      <c r="S129">
        <v>1897</v>
      </c>
      <c r="T129">
        <v>1752</v>
      </c>
      <c r="U129">
        <v>1710</v>
      </c>
      <c r="W129">
        <v>1521</v>
      </c>
      <c r="X129">
        <v>2029</v>
      </c>
      <c r="Y129">
        <v>2175</v>
      </c>
      <c r="AA129" s="219">
        <v>0.2</v>
      </c>
      <c r="AB129" s="219">
        <v>0.5</v>
      </c>
      <c r="AC129" s="219">
        <v>0.8</v>
      </c>
      <c r="AD129" s="220">
        <v>1900.00000000001</v>
      </c>
    </row>
    <row r="130" spans="2:30" x14ac:dyDescent="0.2">
      <c r="B130" s="216">
        <f t="shared" si="2"/>
        <v>127</v>
      </c>
      <c r="C130" s="216">
        <f t="shared" si="3"/>
        <v>0.61057692307692313</v>
      </c>
      <c r="D130">
        <v>2095</v>
      </c>
      <c r="E130">
        <v>1727</v>
      </c>
      <c r="F130">
        <v>2001</v>
      </c>
      <c r="G130">
        <v>2092</v>
      </c>
      <c r="H130"/>
      <c r="I130">
        <v>2001</v>
      </c>
      <c r="J130">
        <v>1979</v>
      </c>
      <c r="K130">
        <v>2089</v>
      </c>
      <c r="L130">
        <v>2021</v>
      </c>
      <c r="M130"/>
      <c r="N130">
        <v>2009</v>
      </c>
      <c r="O130">
        <v>2026</v>
      </c>
      <c r="P130">
        <v>2036</v>
      </c>
      <c r="Q130"/>
      <c r="R130">
        <v>1986</v>
      </c>
      <c r="S130">
        <v>1900</v>
      </c>
      <c r="T130">
        <v>1757</v>
      </c>
      <c r="U130">
        <v>1711</v>
      </c>
      <c r="W130">
        <v>1521</v>
      </c>
      <c r="X130">
        <v>2029</v>
      </c>
      <c r="Y130">
        <v>2175</v>
      </c>
      <c r="AA130" s="219">
        <v>0.2</v>
      </c>
      <c r="AB130" s="219">
        <v>0.5</v>
      </c>
      <c r="AC130" s="219">
        <v>0.8</v>
      </c>
      <c r="AD130" s="216">
        <v>1907.20000000001</v>
      </c>
    </row>
    <row r="131" spans="2:30" x14ac:dyDescent="0.2">
      <c r="B131" s="216">
        <f t="shared" si="2"/>
        <v>128</v>
      </c>
      <c r="C131" s="216">
        <f t="shared" si="3"/>
        <v>0.61538461538461542</v>
      </c>
      <c r="D131">
        <v>2096</v>
      </c>
      <c r="E131">
        <v>1730</v>
      </c>
      <c r="F131">
        <v>2001</v>
      </c>
      <c r="G131">
        <v>2092</v>
      </c>
      <c r="H131"/>
      <c r="I131">
        <v>2001</v>
      </c>
      <c r="J131">
        <v>1981</v>
      </c>
      <c r="K131">
        <v>2095</v>
      </c>
      <c r="L131">
        <v>2022</v>
      </c>
      <c r="M131"/>
      <c r="N131">
        <v>2009</v>
      </c>
      <c r="O131">
        <v>2026</v>
      </c>
      <c r="P131">
        <v>2036</v>
      </c>
      <c r="Q131"/>
      <c r="R131">
        <v>1988</v>
      </c>
      <c r="S131">
        <v>1900</v>
      </c>
      <c r="T131">
        <v>1757</v>
      </c>
      <c r="U131">
        <v>1715</v>
      </c>
      <c r="W131">
        <v>1521</v>
      </c>
      <c r="X131">
        <v>2029</v>
      </c>
      <c r="Y131">
        <v>2175</v>
      </c>
      <c r="AA131" s="219">
        <v>0.2</v>
      </c>
      <c r="AB131" s="219">
        <v>0.5</v>
      </c>
      <c r="AC131" s="219">
        <v>0.8</v>
      </c>
      <c r="AD131" s="220">
        <v>1914.4000000000101</v>
      </c>
    </row>
    <row r="132" spans="2:30" x14ac:dyDescent="0.2">
      <c r="B132" s="216">
        <f t="shared" si="2"/>
        <v>129</v>
      </c>
      <c r="C132" s="216">
        <f t="shared" si="3"/>
        <v>0.62019230769230771</v>
      </c>
      <c r="D132">
        <v>2096</v>
      </c>
      <c r="E132">
        <v>1732</v>
      </c>
      <c r="F132">
        <v>2001</v>
      </c>
      <c r="G132">
        <v>2093</v>
      </c>
      <c r="H132"/>
      <c r="I132">
        <v>2001</v>
      </c>
      <c r="J132">
        <v>1981</v>
      </c>
      <c r="K132">
        <v>2095</v>
      </c>
      <c r="L132">
        <v>2022</v>
      </c>
      <c r="M132"/>
      <c r="N132">
        <v>2009</v>
      </c>
      <c r="O132">
        <v>2028</v>
      </c>
      <c r="P132">
        <v>2038</v>
      </c>
      <c r="Q132"/>
      <c r="R132">
        <v>1989</v>
      </c>
      <c r="S132">
        <v>1901</v>
      </c>
      <c r="T132">
        <v>1767</v>
      </c>
      <c r="U132">
        <v>1718</v>
      </c>
      <c r="W132">
        <v>1521</v>
      </c>
      <c r="X132">
        <v>2029</v>
      </c>
      <c r="Y132">
        <v>2175</v>
      </c>
      <c r="AA132" s="219">
        <v>0.2</v>
      </c>
      <c r="AB132" s="219">
        <v>0.5</v>
      </c>
      <c r="AC132" s="219">
        <v>0.8</v>
      </c>
      <c r="AD132" s="220">
        <v>1921.6000000000099</v>
      </c>
    </row>
    <row r="133" spans="2:30" x14ac:dyDescent="0.2">
      <c r="B133" s="216">
        <f t="shared" si="2"/>
        <v>130</v>
      </c>
      <c r="C133" s="216">
        <f t="shared" si="3"/>
        <v>0.625</v>
      </c>
      <c r="D133">
        <v>2096</v>
      </c>
      <c r="E133">
        <v>1738</v>
      </c>
      <c r="F133">
        <v>2002</v>
      </c>
      <c r="G133">
        <v>2093</v>
      </c>
      <c r="H133"/>
      <c r="I133">
        <v>2002</v>
      </c>
      <c r="J133">
        <v>1982</v>
      </c>
      <c r="K133">
        <v>2097</v>
      </c>
      <c r="L133">
        <v>2022</v>
      </c>
      <c r="M133"/>
      <c r="N133">
        <v>2010</v>
      </c>
      <c r="O133">
        <v>2029</v>
      </c>
      <c r="P133">
        <v>2038</v>
      </c>
      <c r="Q133"/>
      <c r="R133">
        <v>1991</v>
      </c>
      <c r="S133">
        <v>1901</v>
      </c>
      <c r="T133">
        <v>1768</v>
      </c>
      <c r="U133">
        <v>1720</v>
      </c>
      <c r="W133">
        <v>1521</v>
      </c>
      <c r="X133">
        <v>2029</v>
      </c>
      <c r="Y133">
        <v>2175</v>
      </c>
      <c r="AA133" s="219">
        <v>0.2</v>
      </c>
      <c r="AB133" s="219">
        <v>0.5</v>
      </c>
      <c r="AC133" s="219">
        <v>0.8</v>
      </c>
      <c r="AD133" s="216">
        <v>1928.80000000001</v>
      </c>
    </row>
    <row r="134" spans="2:30" x14ac:dyDescent="0.2">
      <c r="B134" s="216">
        <f t="shared" ref="B134:B197" si="4">B133+1</f>
        <v>131</v>
      </c>
      <c r="C134" s="216">
        <f t="shared" si="3"/>
        <v>0.62980769230769229</v>
      </c>
      <c r="D134">
        <v>2096</v>
      </c>
      <c r="E134">
        <v>1750</v>
      </c>
      <c r="F134">
        <v>2004</v>
      </c>
      <c r="G134">
        <v>2093</v>
      </c>
      <c r="H134"/>
      <c r="I134">
        <v>2002</v>
      </c>
      <c r="J134">
        <v>1982</v>
      </c>
      <c r="K134">
        <v>2098</v>
      </c>
      <c r="L134">
        <v>2023</v>
      </c>
      <c r="M134"/>
      <c r="N134">
        <v>2011</v>
      </c>
      <c r="O134">
        <v>2032</v>
      </c>
      <c r="P134">
        <v>2040</v>
      </c>
      <c r="Q134"/>
      <c r="R134">
        <v>1999</v>
      </c>
      <c r="S134">
        <v>1901</v>
      </c>
      <c r="T134">
        <v>1768</v>
      </c>
      <c r="U134">
        <v>1720</v>
      </c>
      <c r="W134">
        <v>1521</v>
      </c>
      <c r="X134">
        <v>2029</v>
      </c>
      <c r="Y134">
        <v>2175</v>
      </c>
      <c r="AA134" s="219">
        <v>0.2</v>
      </c>
      <c r="AB134" s="219">
        <v>0.5</v>
      </c>
      <c r="AC134" s="219">
        <v>0.8</v>
      </c>
      <c r="AD134" s="220">
        <v>1936.00000000001</v>
      </c>
    </row>
    <row r="135" spans="2:30" x14ac:dyDescent="0.2">
      <c r="B135" s="216">
        <f t="shared" si="4"/>
        <v>132</v>
      </c>
      <c r="C135" s="216">
        <f t="shared" ref="C135:C198" si="5">B135/$B$211</f>
        <v>0.63461538461538458</v>
      </c>
      <c r="D135">
        <v>2097</v>
      </c>
      <c r="E135">
        <v>1752</v>
      </c>
      <c r="F135">
        <v>2004</v>
      </c>
      <c r="G135">
        <v>2100</v>
      </c>
      <c r="H135"/>
      <c r="I135">
        <v>2002</v>
      </c>
      <c r="J135">
        <v>1983</v>
      </c>
      <c r="K135">
        <v>2099</v>
      </c>
      <c r="L135">
        <v>2023</v>
      </c>
      <c r="M135"/>
      <c r="N135">
        <v>2012</v>
      </c>
      <c r="O135">
        <v>2039</v>
      </c>
      <c r="P135">
        <v>2042</v>
      </c>
      <c r="Q135"/>
      <c r="R135">
        <v>2000</v>
      </c>
      <c r="S135">
        <v>1902</v>
      </c>
      <c r="T135">
        <v>1770</v>
      </c>
      <c r="U135">
        <v>1727</v>
      </c>
      <c r="W135">
        <v>1521</v>
      </c>
      <c r="X135">
        <v>2029</v>
      </c>
      <c r="Y135">
        <v>2175</v>
      </c>
      <c r="AA135" s="219">
        <v>0.2</v>
      </c>
      <c r="AB135" s="219">
        <v>0.5</v>
      </c>
      <c r="AC135" s="219">
        <v>0.8</v>
      </c>
      <c r="AD135" s="220">
        <v>1943.20000000001</v>
      </c>
    </row>
    <row r="136" spans="2:30" x14ac:dyDescent="0.2">
      <c r="B136" s="216">
        <f t="shared" si="4"/>
        <v>133</v>
      </c>
      <c r="C136" s="216">
        <f t="shared" si="5"/>
        <v>0.63942307692307687</v>
      </c>
      <c r="D136">
        <v>2097</v>
      </c>
      <c r="E136">
        <v>1752</v>
      </c>
      <c r="F136">
        <v>2006</v>
      </c>
      <c r="G136">
        <v>2105</v>
      </c>
      <c r="H136"/>
      <c r="I136">
        <v>2002</v>
      </c>
      <c r="J136">
        <v>1984</v>
      </c>
      <c r="K136">
        <v>2099</v>
      </c>
      <c r="L136">
        <v>2025</v>
      </c>
      <c r="M136"/>
      <c r="N136">
        <v>2012</v>
      </c>
      <c r="O136">
        <v>2043</v>
      </c>
      <c r="P136">
        <v>2043</v>
      </c>
      <c r="Q136"/>
      <c r="R136">
        <v>2002</v>
      </c>
      <c r="S136">
        <v>1903</v>
      </c>
      <c r="T136">
        <v>1785</v>
      </c>
      <c r="U136">
        <v>1735</v>
      </c>
      <c r="W136">
        <v>1521</v>
      </c>
      <c r="X136">
        <v>2029</v>
      </c>
      <c r="Y136">
        <v>2175</v>
      </c>
      <c r="AA136" s="219">
        <v>0.2</v>
      </c>
      <c r="AB136" s="219">
        <v>0.5</v>
      </c>
      <c r="AC136" s="219">
        <v>0.8</v>
      </c>
      <c r="AD136" s="216">
        <v>1950.4000000000101</v>
      </c>
    </row>
    <row r="137" spans="2:30" x14ac:dyDescent="0.2">
      <c r="B137" s="216">
        <f t="shared" si="4"/>
        <v>134</v>
      </c>
      <c r="C137" s="216">
        <f t="shared" si="5"/>
        <v>0.64423076923076927</v>
      </c>
      <c r="D137">
        <v>2098</v>
      </c>
      <c r="E137">
        <v>1753</v>
      </c>
      <c r="F137">
        <v>2006</v>
      </c>
      <c r="G137">
        <v>2107</v>
      </c>
      <c r="H137"/>
      <c r="I137">
        <v>2003</v>
      </c>
      <c r="J137">
        <v>1984</v>
      </c>
      <c r="K137">
        <v>2100</v>
      </c>
      <c r="L137">
        <v>2026</v>
      </c>
      <c r="M137"/>
      <c r="N137">
        <v>2012</v>
      </c>
      <c r="O137">
        <v>2045</v>
      </c>
      <c r="P137">
        <v>2045</v>
      </c>
      <c r="Q137"/>
      <c r="R137">
        <v>2002</v>
      </c>
      <c r="S137">
        <v>1907</v>
      </c>
      <c r="T137">
        <v>1785</v>
      </c>
      <c r="U137">
        <v>1737</v>
      </c>
      <c r="W137">
        <v>1521</v>
      </c>
      <c r="X137">
        <v>2029</v>
      </c>
      <c r="Y137">
        <v>2175</v>
      </c>
      <c r="AA137" s="219">
        <v>0.2</v>
      </c>
      <c r="AB137" s="219">
        <v>0.5</v>
      </c>
      <c r="AC137" s="219">
        <v>0.8</v>
      </c>
      <c r="AD137" s="220">
        <v>1957.6000000000099</v>
      </c>
    </row>
    <row r="138" spans="2:30" x14ac:dyDescent="0.2">
      <c r="B138" s="216">
        <f t="shared" si="4"/>
        <v>135</v>
      </c>
      <c r="C138" s="216">
        <f t="shared" si="5"/>
        <v>0.64903846153846156</v>
      </c>
      <c r="D138">
        <v>2098</v>
      </c>
      <c r="E138">
        <v>1755</v>
      </c>
      <c r="F138">
        <v>2009</v>
      </c>
      <c r="G138">
        <v>2107</v>
      </c>
      <c r="H138"/>
      <c r="I138">
        <v>2003</v>
      </c>
      <c r="J138">
        <v>1984</v>
      </c>
      <c r="K138">
        <v>2102</v>
      </c>
      <c r="L138">
        <v>2027</v>
      </c>
      <c r="M138"/>
      <c r="N138">
        <v>2013</v>
      </c>
      <c r="O138">
        <v>2045</v>
      </c>
      <c r="P138">
        <v>2049</v>
      </c>
      <c r="Q138"/>
      <c r="R138">
        <v>2003</v>
      </c>
      <c r="S138">
        <v>1914</v>
      </c>
      <c r="T138">
        <v>1791</v>
      </c>
      <c r="U138">
        <v>1740</v>
      </c>
      <c r="W138">
        <v>1521</v>
      </c>
      <c r="X138">
        <v>2029</v>
      </c>
      <c r="Y138">
        <v>2175</v>
      </c>
      <c r="AA138" s="219">
        <v>0.2</v>
      </c>
      <c r="AB138" s="219">
        <v>0.5</v>
      </c>
      <c r="AC138" s="219">
        <v>0.8</v>
      </c>
      <c r="AD138" s="220">
        <v>1964.80000000001</v>
      </c>
    </row>
    <row r="139" spans="2:30" x14ac:dyDescent="0.2">
      <c r="B139" s="216">
        <f t="shared" si="4"/>
        <v>136</v>
      </c>
      <c r="C139" s="216">
        <f t="shared" si="5"/>
        <v>0.65384615384615385</v>
      </c>
      <c r="D139">
        <v>2098</v>
      </c>
      <c r="E139">
        <v>1757</v>
      </c>
      <c r="F139">
        <v>2009</v>
      </c>
      <c r="G139">
        <v>2108</v>
      </c>
      <c r="H139"/>
      <c r="I139">
        <v>2004</v>
      </c>
      <c r="J139">
        <v>1986</v>
      </c>
      <c r="K139">
        <v>2103</v>
      </c>
      <c r="L139">
        <v>2028</v>
      </c>
      <c r="M139"/>
      <c r="N139">
        <v>2015</v>
      </c>
      <c r="O139">
        <v>2046</v>
      </c>
      <c r="P139">
        <v>2049</v>
      </c>
      <c r="Q139"/>
      <c r="R139">
        <v>2004</v>
      </c>
      <c r="S139">
        <v>1922</v>
      </c>
      <c r="T139">
        <v>1797</v>
      </c>
      <c r="U139">
        <v>1742</v>
      </c>
      <c r="W139">
        <v>1521</v>
      </c>
      <c r="X139">
        <v>2029</v>
      </c>
      <c r="Y139">
        <v>2175</v>
      </c>
      <c r="AA139" s="219">
        <v>0.2</v>
      </c>
      <c r="AB139" s="219">
        <v>0.5</v>
      </c>
      <c r="AC139" s="219">
        <v>0.8</v>
      </c>
      <c r="AD139" s="216">
        <v>1972.00000000001</v>
      </c>
    </row>
    <row r="140" spans="2:30" x14ac:dyDescent="0.2">
      <c r="B140" s="216">
        <f t="shared" si="4"/>
        <v>137</v>
      </c>
      <c r="C140" s="216">
        <f t="shared" si="5"/>
        <v>0.65865384615384615</v>
      </c>
      <c r="D140">
        <v>2098</v>
      </c>
      <c r="E140">
        <v>1767</v>
      </c>
      <c r="F140">
        <v>2010</v>
      </c>
      <c r="G140">
        <v>2109</v>
      </c>
      <c r="H140"/>
      <c r="I140">
        <v>2007</v>
      </c>
      <c r="J140">
        <v>1987</v>
      </c>
      <c r="K140">
        <v>2103</v>
      </c>
      <c r="L140">
        <v>2028</v>
      </c>
      <c r="M140"/>
      <c r="N140">
        <v>2016</v>
      </c>
      <c r="O140">
        <v>2047</v>
      </c>
      <c r="P140">
        <v>2050</v>
      </c>
      <c r="Q140"/>
      <c r="R140">
        <v>2004</v>
      </c>
      <c r="S140">
        <v>1922</v>
      </c>
      <c r="T140">
        <v>1805</v>
      </c>
      <c r="U140">
        <v>1748</v>
      </c>
      <c r="W140">
        <v>1521</v>
      </c>
      <c r="X140">
        <v>2029</v>
      </c>
      <c r="Y140">
        <v>2175</v>
      </c>
      <c r="AA140" s="219">
        <v>0.2</v>
      </c>
      <c r="AB140" s="219">
        <v>0.5</v>
      </c>
      <c r="AC140" s="219">
        <v>0.8</v>
      </c>
      <c r="AD140" s="220">
        <v>1979.20000000001</v>
      </c>
    </row>
    <row r="141" spans="2:30" x14ac:dyDescent="0.2">
      <c r="B141" s="216">
        <f t="shared" si="4"/>
        <v>138</v>
      </c>
      <c r="C141" s="216">
        <f t="shared" si="5"/>
        <v>0.66346153846153844</v>
      </c>
      <c r="D141">
        <v>2098</v>
      </c>
      <c r="E141">
        <v>1770</v>
      </c>
      <c r="F141">
        <v>2010</v>
      </c>
      <c r="G141">
        <v>2109</v>
      </c>
      <c r="H141"/>
      <c r="I141">
        <v>2007</v>
      </c>
      <c r="J141">
        <v>1987</v>
      </c>
      <c r="K141">
        <v>2104</v>
      </c>
      <c r="L141">
        <v>2028</v>
      </c>
      <c r="M141"/>
      <c r="N141">
        <v>2020</v>
      </c>
      <c r="O141">
        <v>2048</v>
      </c>
      <c r="P141">
        <v>2051</v>
      </c>
      <c r="Q141"/>
      <c r="R141">
        <v>2004</v>
      </c>
      <c r="S141">
        <v>1925</v>
      </c>
      <c r="T141">
        <v>1808</v>
      </c>
      <c r="U141">
        <v>1749</v>
      </c>
      <c r="W141">
        <v>1521</v>
      </c>
      <c r="X141">
        <v>2029</v>
      </c>
      <c r="Y141">
        <v>2175</v>
      </c>
      <c r="AA141" s="219">
        <v>0.2</v>
      </c>
      <c r="AB141" s="219">
        <v>0.5</v>
      </c>
      <c r="AC141" s="219">
        <v>0.8</v>
      </c>
      <c r="AD141" s="220">
        <v>1986.4000000000101</v>
      </c>
    </row>
    <row r="142" spans="2:30" x14ac:dyDescent="0.2">
      <c r="B142" s="216">
        <f t="shared" si="4"/>
        <v>139</v>
      </c>
      <c r="C142" s="216">
        <f t="shared" si="5"/>
        <v>0.66826923076923073</v>
      </c>
      <c r="D142">
        <v>2098</v>
      </c>
      <c r="E142">
        <v>1785</v>
      </c>
      <c r="F142">
        <v>2016</v>
      </c>
      <c r="G142">
        <v>2112</v>
      </c>
      <c r="H142"/>
      <c r="I142">
        <v>2008</v>
      </c>
      <c r="J142">
        <v>1988</v>
      </c>
      <c r="K142">
        <v>2105</v>
      </c>
      <c r="L142">
        <v>2028</v>
      </c>
      <c r="M142"/>
      <c r="N142">
        <v>2021</v>
      </c>
      <c r="O142">
        <v>2048</v>
      </c>
      <c r="P142">
        <v>2052</v>
      </c>
      <c r="Q142"/>
      <c r="R142">
        <v>2004</v>
      </c>
      <c r="S142">
        <v>1935</v>
      </c>
      <c r="T142">
        <v>1808</v>
      </c>
      <c r="U142">
        <v>1750</v>
      </c>
      <c r="W142">
        <v>1521</v>
      </c>
      <c r="X142">
        <v>2029</v>
      </c>
      <c r="Y142">
        <v>2175</v>
      </c>
      <c r="AA142" s="219">
        <v>0.2</v>
      </c>
      <c r="AB142" s="219">
        <v>0.5</v>
      </c>
      <c r="AC142" s="219">
        <v>0.8</v>
      </c>
      <c r="AD142" s="216">
        <v>1993.6000000000099</v>
      </c>
    </row>
    <row r="143" spans="2:30" x14ac:dyDescent="0.2">
      <c r="B143" s="216">
        <f t="shared" si="4"/>
        <v>140</v>
      </c>
      <c r="C143" s="216">
        <f t="shared" si="5"/>
        <v>0.67307692307692313</v>
      </c>
      <c r="D143">
        <v>2099</v>
      </c>
      <c r="E143">
        <v>1795</v>
      </c>
      <c r="F143">
        <v>2016</v>
      </c>
      <c r="G143">
        <v>2115</v>
      </c>
      <c r="H143"/>
      <c r="I143">
        <v>2009</v>
      </c>
      <c r="J143">
        <v>1989</v>
      </c>
      <c r="K143">
        <v>2105</v>
      </c>
      <c r="L143">
        <v>2029</v>
      </c>
      <c r="M143"/>
      <c r="N143">
        <v>2026</v>
      </c>
      <c r="O143">
        <v>2049</v>
      </c>
      <c r="P143">
        <v>2052</v>
      </c>
      <c r="Q143"/>
      <c r="R143">
        <v>2004</v>
      </c>
      <c r="S143">
        <v>1938</v>
      </c>
      <c r="T143">
        <v>1808</v>
      </c>
      <c r="U143">
        <v>1750</v>
      </c>
      <c r="W143">
        <v>1521</v>
      </c>
      <c r="X143">
        <v>2029</v>
      </c>
      <c r="Y143">
        <v>2175</v>
      </c>
      <c r="AA143" s="219">
        <v>0.2</v>
      </c>
      <c r="AB143" s="219">
        <v>0.5</v>
      </c>
      <c r="AC143" s="219">
        <v>0.8</v>
      </c>
      <c r="AD143" s="220">
        <v>2000.80000000001</v>
      </c>
    </row>
    <row r="144" spans="2:30" x14ac:dyDescent="0.2">
      <c r="B144" s="216">
        <f t="shared" si="4"/>
        <v>141</v>
      </c>
      <c r="C144" s="216">
        <f t="shared" si="5"/>
        <v>0.67788461538461542</v>
      </c>
      <c r="D144">
        <v>2099</v>
      </c>
      <c r="E144">
        <v>1797</v>
      </c>
      <c r="F144">
        <v>2016</v>
      </c>
      <c r="G144">
        <v>2118</v>
      </c>
      <c r="H144"/>
      <c r="I144">
        <v>2009</v>
      </c>
      <c r="J144">
        <v>1991</v>
      </c>
      <c r="K144">
        <v>2106</v>
      </c>
      <c r="L144">
        <v>2029</v>
      </c>
      <c r="M144"/>
      <c r="N144">
        <v>2028</v>
      </c>
      <c r="O144">
        <v>2050</v>
      </c>
      <c r="P144">
        <v>2052</v>
      </c>
      <c r="Q144"/>
      <c r="R144">
        <v>2004</v>
      </c>
      <c r="S144">
        <v>1942</v>
      </c>
      <c r="T144">
        <v>1810</v>
      </c>
      <c r="U144">
        <v>1752</v>
      </c>
      <c r="W144">
        <v>1521</v>
      </c>
      <c r="X144">
        <v>2029</v>
      </c>
      <c r="Y144">
        <v>2175</v>
      </c>
      <c r="AA144" s="219">
        <v>0.2</v>
      </c>
      <c r="AB144" s="219">
        <v>0.5</v>
      </c>
      <c r="AC144" s="219">
        <v>0.8</v>
      </c>
      <c r="AD144" s="220">
        <v>2008.00000000001</v>
      </c>
    </row>
    <row r="145" spans="2:30" x14ac:dyDescent="0.2">
      <c r="B145" s="216">
        <f t="shared" si="4"/>
        <v>142</v>
      </c>
      <c r="C145" s="216">
        <f t="shared" si="5"/>
        <v>0.68269230769230771</v>
      </c>
      <c r="D145">
        <v>2099</v>
      </c>
      <c r="E145">
        <v>1800</v>
      </c>
      <c r="F145">
        <v>2016</v>
      </c>
      <c r="G145">
        <v>2121</v>
      </c>
      <c r="H145"/>
      <c r="I145">
        <v>2009</v>
      </c>
      <c r="J145">
        <v>1991</v>
      </c>
      <c r="K145">
        <v>2107</v>
      </c>
      <c r="L145">
        <v>2029</v>
      </c>
      <c r="M145"/>
      <c r="N145">
        <v>2029</v>
      </c>
      <c r="O145">
        <v>2051</v>
      </c>
      <c r="P145">
        <v>2055</v>
      </c>
      <c r="Q145"/>
      <c r="R145">
        <v>2004</v>
      </c>
      <c r="S145">
        <v>1945</v>
      </c>
      <c r="T145">
        <v>1812</v>
      </c>
      <c r="U145">
        <v>1753</v>
      </c>
      <c r="W145">
        <v>1521</v>
      </c>
      <c r="X145">
        <v>2029</v>
      </c>
      <c r="Y145">
        <v>2175</v>
      </c>
      <c r="AA145" s="219">
        <v>0.2</v>
      </c>
      <c r="AB145" s="219">
        <v>0.5</v>
      </c>
      <c r="AC145" s="219">
        <v>0.8</v>
      </c>
      <c r="AD145" s="216">
        <v>2015.20000000001</v>
      </c>
    </row>
    <row r="146" spans="2:30" x14ac:dyDescent="0.2">
      <c r="B146" s="216">
        <f t="shared" si="4"/>
        <v>143</v>
      </c>
      <c r="C146" s="216">
        <f t="shared" si="5"/>
        <v>0.6875</v>
      </c>
      <c r="D146">
        <v>2100</v>
      </c>
      <c r="E146">
        <v>1800</v>
      </c>
      <c r="F146">
        <v>2017</v>
      </c>
      <c r="G146">
        <v>2122</v>
      </c>
      <c r="H146"/>
      <c r="I146">
        <v>2009</v>
      </c>
      <c r="J146">
        <v>1991</v>
      </c>
      <c r="K146">
        <v>2110</v>
      </c>
      <c r="L146">
        <v>2029</v>
      </c>
      <c r="M146"/>
      <c r="N146">
        <v>2029</v>
      </c>
      <c r="O146">
        <v>2052</v>
      </c>
      <c r="P146">
        <v>2056</v>
      </c>
      <c r="Q146"/>
      <c r="R146">
        <v>2004</v>
      </c>
      <c r="S146">
        <v>1961</v>
      </c>
      <c r="T146">
        <v>1822</v>
      </c>
      <c r="U146">
        <v>1753</v>
      </c>
      <c r="W146">
        <v>1521</v>
      </c>
      <c r="X146">
        <v>2029</v>
      </c>
      <c r="Y146">
        <v>2175</v>
      </c>
      <c r="AA146" s="219">
        <v>0.2</v>
      </c>
      <c r="AB146" s="219">
        <v>0.5</v>
      </c>
      <c r="AC146" s="219">
        <v>0.8</v>
      </c>
      <c r="AD146" s="220">
        <v>2022.4000000000101</v>
      </c>
    </row>
    <row r="147" spans="2:30" x14ac:dyDescent="0.2">
      <c r="B147" s="216">
        <f t="shared" si="4"/>
        <v>144</v>
      </c>
      <c r="C147" s="216">
        <f t="shared" si="5"/>
        <v>0.69230769230769229</v>
      </c>
      <c r="D147">
        <v>2100</v>
      </c>
      <c r="E147">
        <v>1800</v>
      </c>
      <c r="F147">
        <v>2021</v>
      </c>
      <c r="G147">
        <v>2126</v>
      </c>
      <c r="H147"/>
      <c r="I147">
        <v>2010</v>
      </c>
      <c r="J147">
        <v>1998</v>
      </c>
      <c r="K147">
        <v>2110</v>
      </c>
      <c r="L147">
        <v>2029</v>
      </c>
      <c r="M147"/>
      <c r="N147">
        <v>2029</v>
      </c>
      <c r="O147">
        <v>2052</v>
      </c>
      <c r="P147">
        <v>2059</v>
      </c>
      <c r="Q147"/>
      <c r="R147">
        <v>2007</v>
      </c>
      <c r="S147">
        <v>1968</v>
      </c>
      <c r="T147">
        <v>1830</v>
      </c>
      <c r="U147">
        <v>1755</v>
      </c>
      <c r="W147">
        <v>1521</v>
      </c>
      <c r="X147">
        <v>2029</v>
      </c>
      <c r="Y147">
        <v>2175</v>
      </c>
      <c r="AA147" s="219">
        <v>0.2</v>
      </c>
      <c r="AB147" s="219">
        <v>0.5</v>
      </c>
      <c r="AC147" s="219">
        <v>0.8</v>
      </c>
      <c r="AD147" s="220">
        <v>2029.6000000000099</v>
      </c>
    </row>
    <row r="148" spans="2:30" x14ac:dyDescent="0.2">
      <c r="B148" s="216">
        <f t="shared" si="4"/>
        <v>145</v>
      </c>
      <c r="C148" s="216">
        <f t="shared" si="5"/>
        <v>0.69711538461538458</v>
      </c>
      <c r="D148">
        <v>2100</v>
      </c>
      <c r="E148">
        <v>1802</v>
      </c>
      <c r="F148">
        <v>2025</v>
      </c>
      <c r="G148">
        <v>2128</v>
      </c>
      <c r="H148"/>
      <c r="I148">
        <v>2010</v>
      </c>
      <c r="J148">
        <v>2000</v>
      </c>
      <c r="K148">
        <v>2112</v>
      </c>
      <c r="L148">
        <v>2030</v>
      </c>
      <c r="M148"/>
      <c r="N148">
        <v>2031</v>
      </c>
      <c r="O148">
        <v>2052</v>
      </c>
      <c r="P148">
        <v>2061</v>
      </c>
      <c r="Q148"/>
      <c r="R148">
        <v>2010</v>
      </c>
      <c r="S148">
        <v>1981</v>
      </c>
      <c r="T148">
        <v>1835</v>
      </c>
      <c r="U148">
        <v>1755</v>
      </c>
      <c r="W148">
        <v>1521</v>
      </c>
      <c r="X148">
        <v>2029</v>
      </c>
      <c r="Y148">
        <v>2175</v>
      </c>
      <c r="AA148" s="219">
        <v>0.2</v>
      </c>
      <c r="AB148" s="219">
        <v>0.5</v>
      </c>
      <c r="AC148" s="219">
        <v>0.8</v>
      </c>
      <c r="AD148" s="216">
        <v>2036.80000000001</v>
      </c>
    </row>
    <row r="149" spans="2:30" x14ac:dyDescent="0.2">
      <c r="B149" s="216">
        <f t="shared" si="4"/>
        <v>146</v>
      </c>
      <c r="C149" s="216">
        <f t="shared" si="5"/>
        <v>0.70192307692307687</v>
      </c>
      <c r="D149">
        <v>2100</v>
      </c>
      <c r="E149">
        <v>1803</v>
      </c>
      <c r="F149">
        <v>2025</v>
      </c>
      <c r="G149">
        <v>2130</v>
      </c>
      <c r="H149"/>
      <c r="I149">
        <v>2010</v>
      </c>
      <c r="J149">
        <v>2000</v>
      </c>
      <c r="K149">
        <v>2113</v>
      </c>
      <c r="L149">
        <v>2031</v>
      </c>
      <c r="M149"/>
      <c r="N149">
        <v>2031</v>
      </c>
      <c r="O149">
        <v>2052</v>
      </c>
      <c r="P149">
        <v>2063</v>
      </c>
      <c r="Q149"/>
      <c r="R149">
        <v>2010</v>
      </c>
      <c r="S149">
        <v>1984</v>
      </c>
      <c r="T149">
        <v>1840</v>
      </c>
      <c r="U149">
        <v>1757</v>
      </c>
      <c r="W149">
        <v>1521</v>
      </c>
      <c r="X149">
        <v>2029</v>
      </c>
      <c r="Y149">
        <v>2175</v>
      </c>
      <c r="AA149" s="219">
        <v>0.2</v>
      </c>
      <c r="AB149" s="219">
        <v>0.5</v>
      </c>
      <c r="AC149" s="219">
        <v>0.8</v>
      </c>
      <c r="AD149" s="220">
        <v>2044.00000000001</v>
      </c>
    </row>
    <row r="150" spans="2:30" x14ac:dyDescent="0.2">
      <c r="B150" s="216">
        <f t="shared" si="4"/>
        <v>147</v>
      </c>
      <c r="C150" s="216">
        <f t="shared" si="5"/>
        <v>0.70673076923076927</v>
      </c>
      <c r="D150">
        <v>2100</v>
      </c>
      <c r="E150">
        <v>1804</v>
      </c>
      <c r="F150">
        <v>2026</v>
      </c>
      <c r="G150">
        <v>2130</v>
      </c>
      <c r="H150"/>
      <c r="I150">
        <v>2011</v>
      </c>
      <c r="J150">
        <v>2000</v>
      </c>
      <c r="K150">
        <v>2115</v>
      </c>
      <c r="L150">
        <v>2035</v>
      </c>
      <c r="M150"/>
      <c r="N150">
        <v>2032</v>
      </c>
      <c r="O150">
        <v>2053</v>
      </c>
      <c r="P150">
        <v>2066</v>
      </c>
      <c r="Q150"/>
      <c r="R150">
        <v>2012</v>
      </c>
      <c r="S150">
        <v>1987</v>
      </c>
      <c r="T150">
        <v>1850</v>
      </c>
      <c r="U150">
        <v>1758</v>
      </c>
      <c r="W150">
        <v>1521</v>
      </c>
      <c r="X150">
        <v>2029</v>
      </c>
      <c r="Y150">
        <v>2175</v>
      </c>
      <c r="AA150" s="219">
        <v>0.2</v>
      </c>
      <c r="AB150" s="219">
        <v>0.5</v>
      </c>
      <c r="AC150" s="219">
        <v>0.8</v>
      </c>
      <c r="AD150" s="220">
        <v>2051.2000000000098</v>
      </c>
    </row>
    <row r="151" spans="2:30" x14ac:dyDescent="0.2">
      <c r="B151" s="216">
        <f t="shared" si="4"/>
        <v>148</v>
      </c>
      <c r="C151" s="216">
        <f t="shared" si="5"/>
        <v>0.71153846153846156</v>
      </c>
      <c r="D151">
        <v>2100</v>
      </c>
      <c r="E151">
        <v>1808</v>
      </c>
      <c r="F151">
        <v>2027</v>
      </c>
      <c r="G151">
        <v>2135</v>
      </c>
      <c r="H151"/>
      <c r="I151">
        <v>2011</v>
      </c>
      <c r="J151">
        <v>2000</v>
      </c>
      <c r="K151">
        <v>2118</v>
      </c>
      <c r="L151">
        <v>2035</v>
      </c>
      <c r="M151"/>
      <c r="N151">
        <v>2035</v>
      </c>
      <c r="O151">
        <v>2057</v>
      </c>
      <c r="P151">
        <v>2068</v>
      </c>
      <c r="Q151"/>
      <c r="R151">
        <v>2012</v>
      </c>
      <c r="S151">
        <v>1998</v>
      </c>
      <c r="T151">
        <v>1853</v>
      </c>
      <c r="U151">
        <v>1773</v>
      </c>
      <c r="W151">
        <v>1521</v>
      </c>
      <c r="X151">
        <v>2029</v>
      </c>
      <c r="Y151">
        <v>2175</v>
      </c>
      <c r="AA151" s="219">
        <v>0.2</v>
      </c>
      <c r="AB151" s="219">
        <v>0.5</v>
      </c>
      <c r="AC151" s="219">
        <v>0.8</v>
      </c>
      <c r="AD151" s="216">
        <v>2058.4000000000101</v>
      </c>
    </row>
    <row r="152" spans="2:30" x14ac:dyDescent="0.2">
      <c r="B152" s="216">
        <f t="shared" si="4"/>
        <v>149</v>
      </c>
      <c r="C152" s="216">
        <f t="shared" si="5"/>
        <v>0.71634615384615385</v>
      </c>
      <c r="D152">
        <v>2100</v>
      </c>
      <c r="E152">
        <v>1827</v>
      </c>
      <c r="F152">
        <v>2028</v>
      </c>
      <c r="G152">
        <v>2136</v>
      </c>
      <c r="H152"/>
      <c r="I152">
        <v>2011</v>
      </c>
      <c r="J152">
        <v>2000</v>
      </c>
      <c r="K152">
        <v>2119</v>
      </c>
      <c r="L152">
        <v>2035</v>
      </c>
      <c r="M152"/>
      <c r="N152">
        <v>2040</v>
      </c>
      <c r="O152">
        <v>2058</v>
      </c>
      <c r="P152">
        <v>2069</v>
      </c>
      <c r="Q152"/>
      <c r="R152">
        <v>2014</v>
      </c>
      <c r="S152">
        <v>2000</v>
      </c>
      <c r="T152">
        <v>1857</v>
      </c>
      <c r="U152">
        <v>1777</v>
      </c>
      <c r="W152">
        <v>1521</v>
      </c>
      <c r="X152">
        <v>2029</v>
      </c>
      <c r="Y152">
        <v>2175</v>
      </c>
      <c r="AA152" s="219">
        <v>0.2</v>
      </c>
      <c r="AB152" s="219">
        <v>0.5</v>
      </c>
      <c r="AC152" s="219">
        <v>0.8</v>
      </c>
      <c r="AD152" s="220">
        <v>2065.6000000000099</v>
      </c>
    </row>
    <row r="153" spans="2:30" x14ac:dyDescent="0.2">
      <c r="B153" s="216">
        <f t="shared" si="4"/>
        <v>150</v>
      </c>
      <c r="C153" s="216">
        <f t="shared" si="5"/>
        <v>0.72115384615384615</v>
      </c>
      <c r="D153">
        <v>2101</v>
      </c>
      <c r="E153">
        <v>1833</v>
      </c>
      <c r="F153">
        <v>2028</v>
      </c>
      <c r="G153">
        <v>2136</v>
      </c>
      <c r="H153"/>
      <c r="I153">
        <v>2011</v>
      </c>
      <c r="J153">
        <v>2001</v>
      </c>
      <c r="K153">
        <v>2119</v>
      </c>
      <c r="L153">
        <v>2035</v>
      </c>
      <c r="M153"/>
      <c r="N153">
        <v>2041</v>
      </c>
      <c r="O153">
        <v>2065</v>
      </c>
      <c r="P153">
        <v>2072</v>
      </c>
      <c r="Q153"/>
      <c r="R153">
        <v>2019</v>
      </c>
      <c r="S153">
        <v>2000</v>
      </c>
      <c r="T153">
        <v>1857</v>
      </c>
      <c r="U153">
        <v>1780</v>
      </c>
      <c r="W153">
        <v>1521</v>
      </c>
      <c r="X153">
        <v>2029</v>
      </c>
      <c r="Y153">
        <v>2175</v>
      </c>
      <c r="AA153" s="219">
        <v>0.2</v>
      </c>
      <c r="AB153" s="219">
        <v>0.5</v>
      </c>
      <c r="AC153" s="219">
        <v>0.8</v>
      </c>
      <c r="AD153" s="220">
        <v>2072.8000000000102</v>
      </c>
    </row>
    <row r="154" spans="2:30" x14ac:dyDescent="0.2">
      <c r="B154" s="216">
        <f t="shared" si="4"/>
        <v>151</v>
      </c>
      <c r="C154" s="216">
        <f t="shared" si="5"/>
        <v>0.72596153846153844</v>
      </c>
      <c r="D154">
        <v>2102</v>
      </c>
      <c r="E154">
        <v>1847</v>
      </c>
      <c r="F154">
        <v>2028</v>
      </c>
      <c r="G154">
        <v>2140</v>
      </c>
      <c r="H154"/>
      <c r="I154">
        <v>2012</v>
      </c>
      <c r="J154">
        <v>2001</v>
      </c>
      <c r="K154">
        <v>2119</v>
      </c>
      <c r="L154">
        <v>2037</v>
      </c>
      <c r="M154"/>
      <c r="N154">
        <v>2041</v>
      </c>
      <c r="O154">
        <v>2066</v>
      </c>
      <c r="P154">
        <v>2075</v>
      </c>
      <c r="Q154"/>
      <c r="R154">
        <v>2019</v>
      </c>
      <c r="S154">
        <v>2002</v>
      </c>
      <c r="T154">
        <v>1864</v>
      </c>
      <c r="U154">
        <v>1795</v>
      </c>
      <c r="W154">
        <v>1521</v>
      </c>
      <c r="X154">
        <v>2029</v>
      </c>
      <c r="Y154">
        <v>2175</v>
      </c>
      <c r="AA154" s="219">
        <v>0.2</v>
      </c>
      <c r="AB154" s="219">
        <v>0.5</v>
      </c>
      <c r="AC154" s="219">
        <v>0.8</v>
      </c>
      <c r="AD154" s="216">
        <v>2080.00000000001</v>
      </c>
    </row>
    <row r="155" spans="2:30" x14ac:dyDescent="0.2">
      <c r="B155" s="216">
        <f t="shared" si="4"/>
        <v>152</v>
      </c>
      <c r="C155" s="216">
        <f t="shared" si="5"/>
        <v>0.73076923076923073</v>
      </c>
      <c r="D155">
        <v>2102</v>
      </c>
      <c r="E155">
        <v>1847</v>
      </c>
      <c r="F155">
        <v>2029</v>
      </c>
      <c r="G155">
        <v>2142</v>
      </c>
      <c r="H155"/>
      <c r="I155">
        <v>2012</v>
      </c>
      <c r="J155">
        <v>2001</v>
      </c>
      <c r="K155">
        <v>2122</v>
      </c>
      <c r="L155">
        <v>2038</v>
      </c>
      <c r="M155"/>
      <c r="N155">
        <v>2041</v>
      </c>
      <c r="O155">
        <v>2069</v>
      </c>
      <c r="P155">
        <v>2077</v>
      </c>
      <c r="Q155"/>
      <c r="R155">
        <v>2020</v>
      </c>
      <c r="S155">
        <v>2012</v>
      </c>
      <c r="T155">
        <v>1874</v>
      </c>
      <c r="U155">
        <v>1798</v>
      </c>
      <c r="W155">
        <v>1521</v>
      </c>
      <c r="X155">
        <v>2029</v>
      </c>
      <c r="Y155">
        <v>2175</v>
      </c>
      <c r="AA155" s="219">
        <v>0.2</v>
      </c>
      <c r="AB155" s="219">
        <v>0.5</v>
      </c>
      <c r="AC155" s="219">
        <v>0.8</v>
      </c>
      <c r="AD155" s="220">
        <v>2087.2000000000098</v>
      </c>
    </row>
    <row r="156" spans="2:30" x14ac:dyDescent="0.2">
      <c r="B156" s="216">
        <f t="shared" si="4"/>
        <v>153</v>
      </c>
      <c r="C156" s="216">
        <f t="shared" si="5"/>
        <v>0.73557692307692313</v>
      </c>
      <c r="D156">
        <v>2102</v>
      </c>
      <c r="E156">
        <v>1857</v>
      </c>
      <c r="F156">
        <v>2029</v>
      </c>
      <c r="G156">
        <v>2143</v>
      </c>
      <c r="H156"/>
      <c r="I156">
        <v>2013</v>
      </c>
      <c r="J156">
        <v>2001</v>
      </c>
      <c r="K156">
        <v>2122</v>
      </c>
      <c r="L156">
        <v>2039</v>
      </c>
      <c r="M156"/>
      <c r="N156">
        <v>2043</v>
      </c>
      <c r="O156">
        <v>2069</v>
      </c>
      <c r="P156">
        <v>2079</v>
      </c>
      <c r="Q156"/>
      <c r="R156">
        <v>2020</v>
      </c>
      <c r="S156">
        <v>2016</v>
      </c>
      <c r="T156">
        <v>1876</v>
      </c>
      <c r="U156">
        <v>1800</v>
      </c>
      <c r="W156">
        <v>1521</v>
      </c>
      <c r="X156">
        <v>2029</v>
      </c>
      <c r="Y156">
        <v>2175</v>
      </c>
      <c r="AA156" s="219">
        <v>0.2</v>
      </c>
      <c r="AB156" s="219">
        <v>0.5</v>
      </c>
      <c r="AC156" s="219">
        <v>0.8</v>
      </c>
      <c r="AD156" s="220">
        <v>2094.4000000000101</v>
      </c>
    </row>
    <row r="157" spans="2:30" x14ac:dyDescent="0.2">
      <c r="B157" s="216">
        <f t="shared" si="4"/>
        <v>154</v>
      </c>
      <c r="C157" s="216">
        <f t="shared" si="5"/>
        <v>0.74038461538461542</v>
      </c>
      <c r="D157">
        <v>2102</v>
      </c>
      <c r="E157">
        <v>1865</v>
      </c>
      <c r="F157">
        <v>2029</v>
      </c>
      <c r="G157">
        <v>2145</v>
      </c>
      <c r="H157"/>
      <c r="I157">
        <v>2013</v>
      </c>
      <c r="J157">
        <v>2001</v>
      </c>
      <c r="K157">
        <v>2124</v>
      </c>
      <c r="L157">
        <v>2040</v>
      </c>
      <c r="M157"/>
      <c r="N157">
        <v>2043</v>
      </c>
      <c r="O157">
        <v>2070</v>
      </c>
      <c r="P157">
        <v>2082</v>
      </c>
      <c r="Q157"/>
      <c r="R157">
        <v>2020</v>
      </c>
      <c r="S157">
        <v>2018</v>
      </c>
      <c r="T157">
        <v>1880</v>
      </c>
      <c r="U157">
        <v>1800</v>
      </c>
      <c r="W157">
        <v>1521</v>
      </c>
      <c r="X157">
        <v>2029</v>
      </c>
      <c r="Y157">
        <v>2175</v>
      </c>
      <c r="AA157" s="219">
        <v>0.2</v>
      </c>
      <c r="AB157" s="219">
        <v>0.5</v>
      </c>
      <c r="AC157" s="219">
        <v>0.8</v>
      </c>
      <c r="AD157" s="216">
        <v>2101.6000000000099</v>
      </c>
    </row>
    <row r="158" spans="2:30" x14ac:dyDescent="0.2">
      <c r="B158" s="216">
        <f t="shared" si="4"/>
        <v>155</v>
      </c>
      <c r="C158" s="216">
        <f t="shared" si="5"/>
        <v>0.74519230769230771</v>
      </c>
      <c r="D158">
        <v>2102</v>
      </c>
      <c r="E158">
        <v>1881</v>
      </c>
      <c r="F158">
        <v>2030</v>
      </c>
      <c r="G158">
        <v>2148</v>
      </c>
      <c r="H158"/>
      <c r="I158">
        <v>2015</v>
      </c>
      <c r="J158">
        <v>2002</v>
      </c>
      <c r="K158">
        <v>2125</v>
      </c>
      <c r="L158">
        <v>2040</v>
      </c>
      <c r="M158"/>
      <c r="N158">
        <v>2045</v>
      </c>
      <c r="O158">
        <v>2072</v>
      </c>
      <c r="P158">
        <v>2085</v>
      </c>
      <c r="Q158"/>
      <c r="R158">
        <v>2021</v>
      </c>
      <c r="S158">
        <v>2019</v>
      </c>
      <c r="T158">
        <v>1882</v>
      </c>
      <c r="U158">
        <v>1802</v>
      </c>
      <c r="W158">
        <v>1521</v>
      </c>
      <c r="X158">
        <v>2029</v>
      </c>
      <c r="Y158">
        <v>2175</v>
      </c>
      <c r="AA158" s="219">
        <v>0.2</v>
      </c>
      <c r="AB158" s="219">
        <v>0.5</v>
      </c>
      <c r="AC158" s="219">
        <v>0.8</v>
      </c>
      <c r="AD158" s="220">
        <v>2108.8000000000102</v>
      </c>
    </row>
    <row r="159" spans="2:30" x14ac:dyDescent="0.2">
      <c r="B159" s="216">
        <f t="shared" si="4"/>
        <v>156</v>
      </c>
      <c r="C159" s="216">
        <f t="shared" si="5"/>
        <v>0.75</v>
      </c>
      <c r="D159">
        <v>2102</v>
      </c>
      <c r="E159">
        <v>1897</v>
      </c>
      <c r="F159">
        <v>2033</v>
      </c>
      <c r="G159">
        <v>2149</v>
      </c>
      <c r="H159"/>
      <c r="I159">
        <v>2015</v>
      </c>
      <c r="J159">
        <v>2002</v>
      </c>
      <c r="K159">
        <v>2128</v>
      </c>
      <c r="L159">
        <v>2042</v>
      </c>
      <c r="M159"/>
      <c r="N159">
        <v>2046</v>
      </c>
      <c r="O159">
        <v>2073</v>
      </c>
      <c r="P159">
        <v>2090</v>
      </c>
      <c r="Q159"/>
      <c r="R159">
        <v>2023</v>
      </c>
      <c r="S159">
        <v>2026</v>
      </c>
      <c r="T159">
        <v>1890</v>
      </c>
      <c r="U159">
        <v>1803</v>
      </c>
      <c r="W159">
        <v>1521</v>
      </c>
      <c r="X159">
        <v>2029</v>
      </c>
      <c r="Y159">
        <v>2175</v>
      </c>
      <c r="AA159" s="219">
        <v>0.2</v>
      </c>
      <c r="AB159" s="219">
        <v>0.5</v>
      </c>
      <c r="AC159" s="219">
        <v>0.8</v>
      </c>
      <c r="AD159" s="220">
        <v>2116.00000000001</v>
      </c>
    </row>
    <row r="160" spans="2:30" x14ac:dyDescent="0.2">
      <c r="B160" s="216">
        <f t="shared" si="4"/>
        <v>157</v>
      </c>
      <c r="C160" s="216">
        <f t="shared" si="5"/>
        <v>0.75480769230769229</v>
      </c>
      <c r="D160">
        <v>2102</v>
      </c>
      <c r="E160">
        <v>1899</v>
      </c>
      <c r="F160">
        <v>2040</v>
      </c>
      <c r="G160">
        <v>2149</v>
      </c>
      <c r="H160"/>
      <c r="I160">
        <v>2016</v>
      </c>
      <c r="J160">
        <v>2003</v>
      </c>
      <c r="K160">
        <v>2130</v>
      </c>
      <c r="L160">
        <v>2042</v>
      </c>
      <c r="M160"/>
      <c r="N160">
        <v>2046</v>
      </c>
      <c r="O160">
        <v>2075</v>
      </c>
      <c r="P160">
        <v>2092</v>
      </c>
      <c r="Q160"/>
      <c r="R160">
        <v>2025</v>
      </c>
      <c r="S160">
        <v>2029</v>
      </c>
      <c r="T160">
        <v>1893</v>
      </c>
      <c r="U160">
        <v>1824</v>
      </c>
      <c r="W160">
        <v>1521</v>
      </c>
      <c r="X160">
        <v>2029</v>
      </c>
      <c r="Y160">
        <v>2175</v>
      </c>
      <c r="AA160" s="219">
        <v>0.2</v>
      </c>
      <c r="AB160" s="219">
        <v>0.5</v>
      </c>
      <c r="AC160" s="219">
        <v>0.8</v>
      </c>
      <c r="AD160" s="216">
        <v>2123.2000000000098</v>
      </c>
    </row>
    <row r="161" spans="2:30" x14ac:dyDescent="0.2">
      <c r="B161" s="216">
        <f t="shared" si="4"/>
        <v>158</v>
      </c>
      <c r="C161" s="216">
        <f t="shared" si="5"/>
        <v>0.75961538461538458</v>
      </c>
      <c r="D161">
        <v>2102</v>
      </c>
      <c r="E161">
        <v>1908</v>
      </c>
      <c r="F161">
        <v>2041</v>
      </c>
      <c r="G161">
        <v>2152</v>
      </c>
      <c r="H161"/>
      <c r="I161">
        <v>2017</v>
      </c>
      <c r="J161">
        <v>2004</v>
      </c>
      <c r="K161">
        <v>2132</v>
      </c>
      <c r="L161">
        <v>2042</v>
      </c>
      <c r="M161"/>
      <c r="N161">
        <v>2048</v>
      </c>
      <c r="O161">
        <v>2081</v>
      </c>
      <c r="P161">
        <v>2092</v>
      </c>
      <c r="Q161"/>
      <c r="R161">
        <v>2026</v>
      </c>
      <c r="S161">
        <v>2033</v>
      </c>
      <c r="T161">
        <v>1907</v>
      </c>
      <c r="U161">
        <v>1827</v>
      </c>
      <c r="W161">
        <v>1521</v>
      </c>
      <c r="X161">
        <v>2029</v>
      </c>
      <c r="Y161">
        <v>2175</v>
      </c>
      <c r="AA161" s="219">
        <v>0.2</v>
      </c>
      <c r="AB161" s="219">
        <v>0.5</v>
      </c>
      <c r="AC161" s="219">
        <v>0.8</v>
      </c>
      <c r="AD161" s="220">
        <v>2130.4000000000101</v>
      </c>
    </row>
    <row r="162" spans="2:30" x14ac:dyDescent="0.2">
      <c r="B162" s="216">
        <f t="shared" si="4"/>
        <v>159</v>
      </c>
      <c r="C162" s="216">
        <f t="shared" si="5"/>
        <v>0.76442307692307687</v>
      </c>
      <c r="D162">
        <v>2102</v>
      </c>
      <c r="E162">
        <v>1915</v>
      </c>
      <c r="F162">
        <v>2046</v>
      </c>
      <c r="G162">
        <v>2156</v>
      </c>
      <c r="H162"/>
      <c r="I162">
        <v>2017</v>
      </c>
      <c r="J162">
        <v>2004</v>
      </c>
      <c r="K162">
        <v>2143</v>
      </c>
      <c r="L162">
        <v>2044</v>
      </c>
      <c r="M162"/>
      <c r="N162">
        <v>2048</v>
      </c>
      <c r="O162">
        <v>2082</v>
      </c>
      <c r="P162">
        <v>2093</v>
      </c>
      <c r="Q162"/>
      <c r="R162">
        <v>2035</v>
      </c>
      <c r="S162">
        <v>2040</v>
      </c>
      <c r="T162">
        <v>1907</v>
      </c>
      <c r="U162">
        <v>1830</v>
      </c>
      <c r="W162">
        <v>1521</v>
      </c>
      <c r="X162">
        <v>2029</v>
      </c>
      <c r="Y162">
        <v>2175</v>
      </c>
      <c r="AA162" s="219">
        <v>0.2</v>
      </c>
      <c r="AB162" s="219">
        <v>0.5</v>
      </c>
      <c r="AC162" s="219">
        <v>0.8</v>
      </c>
      <c r="AD162" s="220">
        <v>2137.6000000000099</v>
      </c>
    </row>
    <row r="163" spans="2:30" x14ac:dyDescent="0.2">
      <c r="B163" s="216">
        <f t="shared" si="4"/>
        <v>160</v>
      </c>
      <c r="C163" s="216">
        <f t="shared" si="5"/>
        <v>0.76923076923076927</v>
      </c>
      <c r="D163">
        <v>2103</v>
      </c>
      <c r="E163">
        <v>1917</v>
      </c>
      <c r="F163">
        <v>2048</v>
      </c>
      <c r="G163">
        <v>2158</v>
      </c>
      <c r="H163"/>
      <c r="I163">
        <v>2017</v>
      </c>
      <c r="J163">
        <v>2004</v>
      </c>
      <c r="K163">
        <v>2143</v>
      </c>
      <c r="L163">
        <v>2048</v>
      </c>
      <c r="M163"/>
      <c r="N163">
        <v>2049</v>
      </c>
      <c r="O163">
        <v>2085</v>
      </c>
      <c r="P163">
        <v>2095</v>
      </c>
      <c r="Q163"/>
      <c r="R163">
        <v>2041</v>
      </c>
      <c r="S163">
        <v>2048</v>
      </c>
      <c r="T163">
        <v>1911</v>
      </c>
      <c r="U163">
        <v>1830</v>
      </c>
      <c r="W163">
        <v>1521</v>
      </c>
      <c r="X163">
        <v>2029</v>
      </c>
      <c r="Y163">
        <v>2175</v>
      </c>
      <c r="AA163" s="219">
        <v>0.2</v>
      </c>
      <c r="AB163" s="219">
        <v>0.5</v>
      </c>
      <c r="AC163" s="219">
        <v>0.8</v>
      </c>
      <c r="AD163" s="216">
        <v>2144.8000000000102</v>
      </c>
    </row>
    <row r="164" spans="2:30" x14ac:dyDescent="0.2">
      <c r="B164" s="216">
        <f t="shared" si="4"/>
        <v>161</v>
      </c>
      <c r="C164" s="216">
        <f t="shared" si="5"/>
        <v>0.77403846153846156</v>
      </c>
      <c r="D164">
        <v>2103</v>
      </c>
      <c r="E164">
        <v>1927</v>
      </c>
      <c r="F164">
        <v>2048</v>
      </c>
      <c r="G164">
        <v>2159</v>
      </c>
      <c r="H164"/>
      <c r="I164">
        <v>2017</v>
      </c>
      <c r="J164">
        <v>2005</v>
      </c>
      <c r="K164">
        <v>2145</v>
      </c>
      <c r="L164">
        <v>2049</v>
      </c>
      <c r="M164"/>
      <c r="N164">
        <v>2049</v>
      </c>
      <c r="O164">
        <v>2085</v>
      </c>
      <c r="P164">
        <v>2098</v>
      </c>
      <c r="Q164"/>
      <c r="R164">
        <v>2046</v>
      </c>
      <c r="S164">
        <v>2050</v>
      </c>
      <c r="T164">
        <v>1911</v>
      </c>
      <c r="U164">
        <v>1830</v>
      </c>
      <c r="W164">
        <v>1521</v>
      </c>
      <c r="X164">
        <v>2029</v>
      </c>
      <c r="Y164">
        <v>2175</v>
      </c>
      <c r="AA164" s="219">
        <v>0.2</v>
      </c>
      <c r="AB164" s="219">
        <v>0.5</v>
      </c>
      <c r="AC164" s="219">
        <v>0.8</v>
      </c>
      <c r="AD164" s="220">
        <v>2152.00000000001</v>
      </c>
    </row>
    <row r="165" spans="2:30" x14ac:dyDescent="0.2">
      <c r="B165" s="216">
        <f t="shared" si="4"/>
        <v>162</v>
      </c>
      <c r="C165" s="216">
        <f t="shared" si="5"/>
        <v>0.77884615384615385</v>
      </c>
      <c r="D165">
        <v>2105</v>
      </c>
      <c r="E165">
        <v>1928</v>
      </c>
      <c r="F165">
        <v>2050</v>
      </c>
      <c r="G165">
        <v>2162</v>
      </c>
      <c r="H165"/>
      <c r="I165">
        <v>2019</v>
      </c>
      <c r="J165">
        <v>2006</v>
      </c>
      <c r="K165">
        <v>2148</v>
      </c>
      <c r="L165">
        <v>2050</v>
      </c>
      <c r="M165"/>
      <c r="N165">
        <v>2050</v>
      </c>
      <c r="O165">
        <v>2085</v>
      </c>
      <c r="P165">
        <v>2100</v>
      </c>
      <c r="Q165"/>
      <c r="R165">
        <v>2047</v>
      </c>
      <c r="S165">
        <v>2050</v>
      </c>
      <c r="T165">
        <v>1913</v>
      </c>
      <c r="U165">
        <v>1840</v>
      </c>
      <c r="W165">
        <v>1521</v>
      </c>
      <c r="X165">
        <v>2029</v>
      </c>
      <c r="Y165">
        <v>2175</v>
      </c>
      <c r="AA165" s="219">
        <v>0.2</v>
      </c>
      <c r="AB165" s="219">
        <v>0.5</v>
      </c>
      <c r="AC165" s="219">
        <v>0.8</v>
      </c>
      <c r="AD165" s="220">
        <v>2159.2000000000098</v>
      </c>
    </row>
    <row r="166" spans="2:30" x14ac:dyDescent="0.2">
      <c r="B166" s="216">
        <f t="shared" si="4"/>
        <v>163</v>
      </c>
      <c r="C166" s="216">
        <f t="shared" si="5"/>
        <v>0.78365384615384615</v>
      </c>
      <c r="D166">
        <v>2106</v>
      </c>
      <c r="E166">
        <v>1931</v>
      </c>
      <c r="F166">
        <v>2050</v>
      </c>
      <c r="G166">
        <v>2163</v>
      </c>
      <c r="H166"/>
      <c r="I166">
        <v>2019</v>
      </c>
      <c r="J166">
        <v>2006</v>
      </c>
      <c r="K166">
        <v>2152</v>
      </c>
      <c r="L166">
        <v>2050</v>
      </c>
      <c r="M166"/>
      <c r="N166">
        <v>2050</v>
      </c>
      <c r="O166">
        <v>2088</v>
      </c>
      <c r="P166">
        <v>2102</v>
      </c>
      <c r="Q166"/>
      <c r="R166">
        <v>2050</v>
      </c>
      <c r="S166">
        <v>2052</v>
      </c>
      <c r="T166">
        <v>1915</v>
      </c>
      <c r="U166">
        <v>1847</v>
      </c>
      <c r="W166">
        <v>1521</v>
      </c>
      <c r="X166">
        <v>2029</v>
      </c>
      <c r="Y166">
        <v>2175</v>
      </c>
      <c r="AA166" s="219">
        <v>0.2</v>
      </c>
      <c r="AB166" s="219">
        <v>0.5</v>
      </c>
      <c r="AC166" s="219">
        <v>0.8</v>
      </c>
      <c r="AD166" s="216">
        <v>2166.4000000000101</v>
      </c>
    </row>
    <row r="167" spans="2:30" x14ac:dyDescent="0.2">
      <c r="B167" s="216">
        <f t="shared" si="4"/>
        <v>164</v>
      </c>
      <c r="C167" s="216">
        <f t="shared" si="5"/>
        <v>0.78846153846153844</v>
      </c>
      <c r="D167">
        <v>2106</v>
      </c>
      <c r="E167">
        <v>1933</v>
      </c>
      <c r="F167">
        <v>2051</v>
      </c>
      <c r="G167">
        <v>2163</v>
      </c>
      <c r="H167"/>
      <c r="I167">
        <v>2021</v>
      </c>
      <c r="J167">
        <v>2007</v>
      </c>
      <c r="K167">
        <v>2157</v>
      </c>
      <c r="L167">
        <v>2050</v>
      </c>
      <c r="M167"/>
      <c r="N167">
        <v>2051</v>
      </c>
      <c r="O167">
        <v>2092</v>
      </c>
      <c r="P167">
        <v>2102</v>
      </c>
      <c r="Q167"/>
      <c r="R167">
        <v>2051</v>
      </c>
      <c r="S167">
        <v>2056</v>
      </c>
      <c r="T167">
        <v>1925</v>
      </c>
      <c r="U167">
        <v>1850</v>
      </c>
      <c r="W167">
        <v>1521</v>
      </c>
      <c r="X167">
        <v>2029</v>
      </c>
      <c r="Y167">
        <v>2175</v>
      </c>
      <c r="AA167" s="219">
        <v>0.2</v>
      </c>
      <c r="AB167" s="219">
        <v>0.5</v>
      </c>
      <c r="AC167" s="219">
        <v>0.8</v>
      </c>
      <c r="AD167" s="220">
        <v>2173.6000000000099</v>
      </c>
    </row>
    <row r="168" spans="2:30" x14ac:dyDescent="0.2">
      <c r="B168" s="216">
        <f t="shared" si="4"/>
        <v>165</v>
      </c>
      <c r="C168" s="216">
        <f t="shared" si="5"/>
        <v>0.79326923076923073</v>
      </c>
      <c r="D168">
        <v>2107</v>
      </c>
      <c r="E168">
        <v>1934</v>
      </c>
      <c r="F168">
        <v>2052</v>
      </c>
      <c r="G168">
        <v>2166</v>
      </c>
      <c r="H168"/>
      <c r="I168">
        <v>2023</v>
      </c>
      <c r="J168">
        <v>2007</v>
      </c>
      <c r="K168">
        <v>2158</v>
      </c>
      <c r="L168">
        <v>2051</v>
      </c>
      <c r="M168"/>
      <c r="N168">
        <v>2052</v>
      </c>
      <c r="O168">
        <v>2102</v>
      </c>
      <c r="P168">
        <v>2104</v>
      </c>
      <c r="Q168"/>
      <c r="R168">
        <v>2055</v>
      </c>
      <c r="S168">
        <v>2062</v>
      </c>
      <c r="T168">
        <v>1925</v>
      </c>
      <c r="U168">
        <v>1850</v>
      </c>
      <c r="W168">
        <v>1521</v>
      </c>
      <c r="X168">
        <v>2029</v>
      </c>
      <c r="Y168">
        <v>2175</v>
      </c>
      <c r="AA168" s="219">
        <v>0.2</v>
      </c>
      <c r="AB168" s="219">
        <v>0.5</v>
      </c>
      <c r="AC168" s="219">
        <v>0.8</v>
      </c>
      <c r="AD168" s="220">
        <v>2180.8000000000102</v>
      </c>
    </row>
    <row r="169" spans="2:30" x14ac:dyDescent="0.2">
      <c r="B169" s="216">
        <f t="shared" si="4"/>
        <v>166</v>
      </c>
      <c r="C169" s="216">
        <f t="shared" si="5"/>
        <v>0.79807692307692313</v>
      </c>
      <c r="D169">
        <v>2108</v>
      </c>
      <c r="E169">
        <v>1934</v>
      </c>
      <c r="F169">
        <v>2053</v>
      </c>
      <c r="G169">
        <v>2173</v>
      </c>
      <c r="H169"/>
      <c r="I169">
        <v>2025</v>
      </c>
      <c r="J169">
        <v>2009</v>
      </c>
      <c r="K169">
        <v>2159</v>
      </c>
      <c r="L169">
        <v>2051</v>
      </c>
      <c r="M169"/>
      <c r="N169">
        <v>2052</v>
      </c>
      <c r="O169">
        <v>2102</v>
      </c>
      <c r="P169">
        <v>2109</v>
      </c>
      <c r="Q169"/>
      <c r="R169">
        <v>2056</v>
      </c>
      <c r="S169">
        <v>2070</v>
      </c>
      <c r="T169">
        <v>1930</v>
      </c>
      <c r="U169">
        <v>1852</v>
      </c>
      <c r="W169">
        <v>1521</v>
      </c>
      <c r="X169">
        <v>2029</v>
      </c>
      <c r="Y169">
        <v>2175</v>
      </c>
      <c r="AA169" s="219">
        <v>0.2</v>
      </c>
      <c r="AB169" s="219">
        <v>0.5</v>
      </c>
      <c r="AC169" s="219">
        <v>0.8</v>
      </c>
      <c r="AD169" s="216">
        <v>2188.00000000001</v>
      </c>
    </row>
    <row r="170" spans="2:30" x14ac:dyDescent="0.2">
      <c r="B170" s="216">
        <f t="shared" si="4"/>
        <v>167</v>
      </c>
      <c r="C170" s="216">
        <f t="shared" si="5"/>
        <v>0.80288461538461542</v>
      </c>
      <c r="D170">
        <v>2108</v>
      </c>
      <c r="E170">
        <v>1934</v>
      </c>
      <c r="F170">
        <v>2056</v>
      </c>
      <c r="G170">
        <v>2173</v>
      </c>
      <c r="H170"/>
      <c r="I170">
        <v>2026</v>
      </c>
      <c r="J170">
        <v>2009</v>
      </c>
      <c r="K170">
        <v>2176</v>
      </c>
      <c r="L170">
        <v>2056</v>
      </c>
      <c r="M170"/>
      <c r="N170">
        <v>2052</v>
      </c>
      <c r="O170">
        <v>2102</v>
      </c>
      <c r="P170">
        <v>2109</v>
      </c>
      <c r="Q170"/>
      <c r="R170">
        <v>2057</v>
      </c>
      <c r="S170">
        <v>2072</v>
      </c>
      <c r="T170">
        <v>1931</v>
      </c>
      <c r="U170">
        <v>1859</v>
      </c>
      <c r="W170">
        <v>1521</v>
      </c>
      <c r="X170">
        <v>2029</v>
      </c>
      <c r="Y170">
        <v>2175</v>
      </c>
      <c r="AA170" s="219">
        <v>0.2</v>
      </c>
      <c r="AB170" s="219">
        <v>0.5</v>
      </c>
      <c r="AC170" s="219">
        <v>0.8</v>
      </c>
      <c r="AD170" s="220">
        <v>2195.2000000000098</v>
      </c>
    </row>
    <row r="171" spans="2:30" x14ac:dyDescent="0.2">
      <c r="B171" s="216">
        <f t="shared" si="4"/>
        <v>168</v>
      </c>
      <c r="C171" s="216">
        <f t="shared" si="5"/>
        <v>0.80769230769230771</v>
      </c>
      <c r="D171">
        <v>2108</v>
      </c>
      <c r="E171">
        <v>1941</v>
      </c>
      <c r="F171">
        <v>2056</v>
      </c>
      <c r="G171">
        <v>2175</v>
      </c>
      <c r="H171"/>
      <c r="I171">
        <v>2026</v>
      </c>
      <c r="J171">
        <v>2010</v>
      </c>
      <c r="K171">
        <v>2176</v>
      </c>
      <c r="L171">
        <v>2056</v>
      </c>
      <c r="M171"/>
      <c r="N171">
        <v>2052</v>
      </c>
      <c r="O171">
        <v>2108</v>
      </c>
      <c r="P171">
        <v>2110</v>
      </c>
      <c r="Q171"/>
      <c r="R171">
        <v>2057</v>
      </c>
      <c r="S171">
        <v>2074</v>
      </c>
      <c r="T171">
        <v>1932</v>
      </c>
      <c r="U171">
        <v>1859</v>
      </c>
      <c r="W171">
        <v>1521</v>
      </c>
      <c r="X171">
        <v>2029</v>
      </c>
      <c r="Y171">
        <v>2175</v>
      </c>
      <c r="AA171" s="219">
        <v>0.2</v>
      </c>
      <c r="AB171" s="219">
        <v>0.5</v>
      </c>
      <c r="AC171" s="219">
        <v>0.8</v>
      </c>
      <c r="AD171" s="220">
        <v>2202.4000000000101</v>
      </c>
    </row>
    <row r="172" spans="2:30" x14ac:dyDescent="0.2">
      <c r="B172" s="216">
        <f t="shared" si="4"/>
        <v>169</v>
      </c>
      <c r="C172" s="216">
        <f t="shared" si="5"/>
        <v>0.8125</v>
      </c>
      <c r="D172">
        <v>2108</v>
      </c>
      <c r="E172">
        <v>1949</v>
      </c>
      <c r="F172">
        <v>2061</v>
      </c>
      <c r="G172">
        <v>2175</v>
      </c>
      <c r="H172"/>
      <c r="I172">
        <v>2026</v>
      </c>
      <c r="J172">
        <v>2010</v>
      </c>
      <c r="K172">
        <v>2177</v>
      </c>
      <c r="L172">
        <v>2057</v>
      </c>
      <c r="M172"/>
      <c r="N172">
        <v>2052</v>
      </c>
      <c r="O172">
        <v>2108</v>
      </c>
      <c r="P172">
        <v>2118</v>
      </c>
      <c r="Q172"/>
      <c r="R172">
        <v>2059</v>
      </c>
      <c r="S172">
        <v>2076</v>
      </c>
      <c r="T172">
        <v>1964</v>
      </c>
      <c r="U172">
        <v>1864</v>
      </c>
      <c r="W172">
        <v>1521</v>
      </c>
      <c r="X172">
        <v>2029</v>
      </c>
      <c r="Y172">
        <v>2175</v>
      </c>
      <c r="AA172" s="219">
        <v>0.2</v>
      </c>
      <c r="AB172" s="219">
        <v>0.5</v>
      </c>
      <c r="AC172" s="219">
        <v>0.8</v>
      </c>
      <c r="AD172" s="216">
        <v>2209.6000000000099</v>
      </c>
    </row>
    <row r="173" spans="2:30" x14ac:dyDescent="0.2">
      <c r="B173" s="216">
        <f t="shared" si="4"/>
        <v>170</v>
      </c>
      <c r="C173" s="216">
        <f t="shared" si="5"/>
        <v>0.81730769230769229</v>
      </c>
      <c r="D173">
        <v>2108</v>
      </c>
      <c r="E173">
        <v>1950</v>
      </c>
      <c r="F173">
        <v>2062</v>
      </c>
      <c r="G173">
        <v>2175</v>
      </c>
      <c r="H173"/>
      <c r="I173">
        <v>2026</v>
      </c>
      <c r="J173">
        <v>2010</v>
      </c>
      <c r="K173">
        <v>2179</v>
      </c>
      <c r="L173">
        <v>2059</v>
      </c>
      <c r="M173"/>
      <c r="N173">
        <v>2052</v>
      </c>
      <c r="O173">
        <v>2112</v>
      </c>
      <c r="P173">
        <v>2119</v>
      </c>
      <c r="Q173"/>
      <c r="R173">
        <v>2068</v>
      </c>
      <c r="S173">
        <v>2089</v>
      </c>
      <c r="T173">
        <v>1989</v>
      </c>
      <c r="U173">
        <v>1872</v>
      </c>
      <c r="W173">
        <v>1521</v>
      </c>
      <c r="X173">
        <v>2029</v>
      </c>
      <c r="Y173">
        <v>2175</v>
      </c>
      <c r="AA173" s="219">
        <v>0.2</v>
      </c>
      <c r="AB173" s="219">
        <v>0.5</v>
      </c>
      <c r="AC173" s="219">
        <v>0.8</v>
      </c>
      <c r="AD173" s="220">
        <v>2216.8000000000102</v>
      </c>
    </row>
    <row r="174" spans="2:30" x14ac:dyDescent="0.2">
      <c r="B174" s="216">
        <f t="shared" si="4"/>
        <v>171</v>
      </c>
      <c r="C174" s="216">
        <f t="shared" si="5"/>
        <v>0.82211538461538458</v>
      </c>
      <c r="D174">
        <v>2109</v>
      </c>
      <c r="E174">
        <v>1952</v>
      </c>
      <c r="F174">
        <v>2066</v>
      </c>
      <c r="G174">
        <v>2175</v>
      </c>
      <c r="H174"/>
      <c r="I174">
        <v>2026</v>
      </c>
      <c r="J174">
        <v>2012</v>
      </c>
      <c r="K174">
        <v>2182</v>
      </c>
      <c r="L174">
        <v>2067</v>
      </c>
      <c r="M174"/>
      <c r="N174">
        <v>2057</v>
      </c>
      <c r="O174">
        <v>2113</v>
      </c>
      <c r="P174">
        <v>2120</v>
      </c>
      <c r="Q174"/>
      <c r="R174">
        <v>2072</v>
      </c>
      <c r="S174">
        <v>2099</v>
      </c>
      <c r="T174">
        <v>2000</v>
      </c>
      <c r="U174">
        <v>1872</v>
      </c>
      <c r="W174">
        <v>1521</v>
      </c>
      <c r="X174">
        <v>2029</v>
      </c>
      <c r="Y174">
        <v>2175</v>
      </c>
      <c r="AA174" s="219">
        <v>0.2</v>
      </c>
      <c r="AB174" s="219">
        <v>0.5</v>
      </c>
      <c r="AC174" s="219">
        <v>0.8</v>
      </c>
      <c r="AD174" s="220">
        <v>2224.00000000001</v>
      </c>
    </row>
    <row r="175" spans="2:30" x14ac:dyDescent="0.2">
      <c r="B175" s="216">
        <f t="shared" si="4"/>
        <v>172</v>
      </c>
      <c r="C175" s="216">
        <f t="shared" si="5"/>
        <v>0.82692307692307687</v>
      </c>
      <c r="D175">
        <v>2112</v>
      </c>
      <c r="E175">
        <v>1955</v>
      </c>
      <c r="F175">
        <v>2068</v>
      </c>
      <c r="G175">
        <v>2176</v>
      </c>
      <c r="H175"/>
      <c r="I175">
        <v>2026</v>
      </c>
      <c r="J175">
        <v>2012</v>
      </c>
      <c r="K175">
        <v>2186</v>
      </c>
      <c r="L175">
        <v>2067</v>
      </c>
      <c r="M175"/>
      <c r="N175">
        <v>2061</v>
      </c>
      <c r="O175">
        <v>2116</v>
      </c>
      <c r="P175">
        <v>2126</v>
      </c>
      <c r="Q175"/>
      <c r="R175">
        <v>2073</v>
      </c>
      <c r="S175">
        <v>2099</v>
      </c>
      <c r="T175">
        <v>2000</v>
      </c>
      <c r="U175">
        <v>1881</v>
      </c>
      <c r="W175">
        <v>1521</v>
      </c>
      <c r="X175">
        <v>2029</v>
      </c>
      <c r="Y175">
        <v>2175</v>
      </c>
      <c r="AA175" s="219">
        <v>0.2</v>
      </c>
      <c r="AB175" s="219">
        <v>0.5</v>
      </c>
      <c r="AC175" s="219">
        <v>0.8</v>
      </c>
      <c r="AD175" s="216">
        <v>2231.2000000000098</v>
      </c>
    </row>
    <row r="176" spans="2:30" x14ac:dyDescent="0.2">
      <c r="B176" s="216">
        <f t="shared" si="4"/>
        <v>173</v>
      </c>
      <c r="C176" s="216">
        <f t="shared" si="5"/>
        <v>0.83173076923076927</v>
      </c>
      <c r="D176">
        <v>2113</v>
      </c>
      <c r="E176">
        <v>1957</v>
      </c>
      <c r="F176">
        <v>2069</v>
      </c>
      <c r="G176">
        <v>2177</v>
      </c>
      <c r="H176"/>
      <c r="I176">
        <v>2026</v>
      </c>
      <c r="J176">
        <v>2012</v>
      </c>
      <c r="K176">
        <v>2200</v>
      </c>
      <c r="L176">
        <v>2071</v>
      </c>
      <c r="M176"/>
      <c r="N176">
        <v>2070</v>
      </c>
      <c r="O176">
        <v>2118</v>
      </c>
      <c r="P176">
        <v>2126</v>
      </c>
      <c r="Q176"/>
      <c r="R176">
        <v>2091</v>
      </c>
      <c r="S176">
        <v>2100</v>
      </c>
      <c r="T176">
        <v>2000</v>
      </c>
      <c r="U176">
        <v>1887</v>
      </c>
      <c r="W176">
        <v>1521</v>
      </c>
      <c r="X176">
        <v>2029</v>
      </c>
      <c r="Y176">
        <v>2175</v>
      </c>
      <c r="AA176" s="219">
        <v>0.2</v>
      </c>
      <c r="AB176" s="219">
        <v>0.5</v>
      </c>
      <c r="AC176" s="219">
        <v>0.8</v>
      </c>
      <c r="AD176" s="220">
        <v>2238.4000000000101</v>
      </c>
    </row>
    <row r="177" spans="2:30" x14ac:dyDescent="0.2">
      <c r="B177" s="216">
        <f t="shared" si="4"/>
        <v>174</v>
      </c>
      <c r="C177" s="216">
        <f t="shared" si="5"/>
        <v>0.83653846153846156</v>
      </c>
      <c r="D177">
        <v>2115</v>
      </c>
      <c r="E177">
        <v>1959</v>
      </c>
      <c r="F177">
        <v>2081</v>
      </c>
      <c r="G177">
        <v>2179</v>
      </c>
      <c r="H177"/>
      <c r="I177">
        <v>2027</v>
      </c>
      <c r="J177">
        <v>2013</v>
      </c>
      <c r="K177">
        <v>2200</v>
      </c>
      <c r="L177">
        <v>2075</v>
      </c>
      <c r="M177"/>
      <c r="N177">
        <v>2076</v>
      </c>
      <c r="O177">
        <v>2120</v>
      </c>
      <c r="P177">
        <v>2127</v>
      </c>
      <c r="Q177"/>
      <c r="R177">
        <v>2095</v>
      </c>
      <c r="S177">
        <v>2100</v>
      </c>
      <c r="T177">
        <v>2004</v>
      </c>
      <c r="U177">
        <v>1889</v>
      </c>
      <c r="W177">
        <v>1521</v>
      </c>
      <c r="X177">
        <v>2029</v>
      </c>
      <c r="Y177">
        <v>2175</v>
      </c>
      <c r="AA177" s="219">
        <v>0.2</v>
      </c>
      <c r="AB177" s="219">
        <v>0.5</v>
      </c>
      <c r="AC177" s="219">
        <v>0.8</v>
      </c>
      <c r="AD177" s="220">
        <v>2245.6000000000099</v>
      </c>
    </row>
    <row r="178" spans="2:30" x14ac:dyDescent="0.2">
      <c r="B178" s="216">
        <f t="shared" si="4"/>
        <v>175</v>
      </c>
      <c r="C178" s="216">
        <f t="shared" si="5"/>
        <v>0.84134615384615385</v>
      </c>
      <c r="D178">
        <v>2115</v>
      </c>
      <c r="E178">
        <v>1964</v>
      </c>
      <c r="F178">
        <v>2082</v>
      </c>
      <c r="G178">
        <v>2185</v>
      </c>
      <c r="H178"/>
      <c r="I178">
        <v>2027</v>
      </c>
      <c r="J178">
        <v>2016</v>
      </c>
      <c r="K178">
        <v>2200</v>
      </c>
      <c r="L178">
        <v>2075</v>
      </c>
      <c r="M178"/>
      <c r="N178">
        <v>2080</v>
      </c>
      <c r="O178">
        <v>2123</v>
      </c>
      <c r="P178">
        <v>2128</v>
      </c>
      <c r="Q178"/>
      <c r="R178">
        <v>2102</v>
      </c>
      <c r="S178">
        <v>2102</v>
      </c>
      <c r="T178">
        <v>2008</v>
      </c>
      <c r="U178">
        <v>1895</v>
      </c>
      <c r="W178">
        <v>1521</v>
      </c>
      <c r="X178">
        <v>2029</v>
      </c>
      <c r="Y178">
        <v>2175</v>
      </c>
      <c r="AA178" s="219">
        <v>0.2</v>
      </c>
      <c r="AB178" s="219">
        <v>0.5</v>
      </c>
      <c r="AC178" s="219">
        <v>0.8</v>
      </c>
      <c r="AD178" s="216">
        <v>2252.8000000000102</v>
      </c>
    </row>
    <row r="179" spans="2:30" x14ac:dyDescent="0.2">
      <c r="B179" s="216">
        <f t="shared" si="4"/>
        <v>176</v>
      </c>
      <c r="C179" s="216">
        <f t="shared" si="5"/>
        <v>0.84615384615384615</v>
      </c>
      <c r="D179">
        <v>2116</v>
      </c>
      <c r="E179">
        <v>1965</v>
      </c>
      <c r="F179">
        <v>2086</v>
      </c>
      <c r="G179">
        <v>2187</v>
      </c>
      <c r="H179"/>
      <c r="I179">
        <v>2028</v>
      </c>
      <c r="J179">
        <v>2016</v>
      </c>
      <c r="K179">
        <v>2200</v>
      </c>
      <c r="L179">
        <v>2076</v>
      </c>
      <c r="M179"/>
      <c r="N179">
        <v>2086</v>
      </c>
      <c r="O179">
        <v>2125</v>
      </c>
      <c r="P179">
        <v>2128</v>
      </c>
      <c r="Q179"/>
      <c r="R179">
        <v>2102</v>
      </c>
      <c r="S179">
        <v>2102</v>
      </c>
      <c r="T179">
        <v>2015</v>
      </c>
      <c r="U179">
        <v>1897</v>
      </c>
      <c r="W179">
        <v>1521</v>
      </c>
      <c r="X179">
        <v>2029</v>
      </c>
      <c r="Y179">
        <v>2175</v>
      </c>
      <c r="AA179" s="219">
        <v>0.2</v>
      </c>
      <c r="AB179" s="219">
        <v>0.5</v>
      </c>
      <c r="AC179" s="219">
        <v>0.8</v>
      </c>
      <c r="AD179" s="220">
        <v>2260.00000000001</v>
      </c>
    </row>
    <row r="180" spans="2:30" x14ac:dyDescent="0.2">
      <c r="B180" s="216">
        <f t="shared" si="4"/>
        <v>177</v>
      </c>
      <c r="C180" s="216">
        <f t="shared" si="5"/>
        <v>0.85096153846153844</v>
      </c>
      <c r="D180">
        <v>2117</v>
      </c>
      <c r="E180">
        <v>1967</v>
      </c>
      <c r="F180">
        <v>2086</v>
      </c>
      <c r="G180">
        <v>2193</v>
      </c>
      <c r="H180"/>
      <c r="I180">
        <v>2028</v>
      </c>
      <c r="J180">
        <v>2017</v>
      </c>
      <c r="K180">
        <v>2202</v>
      </c>
      <c r="L180">
        <v>2078</v>
      </c>
      <c r="M180"/>
      <c r="N180">
        <v>2086</v>
      </c>
      <c r="O180">
        <v>2126</v>
      </c>
      <c r="P180">
        <v>2129</v>
      </c>
      <c r="Q180"/>
      <c r="R180">
        <v>2102</v>
      </c>
      <c r="S180">
        <v>2106</v>
      </c>
      <c r="T180">
        <v>2029</v>
      </c>
      <c r="U180">
        <v>1910</v>
      </c>
      <c r="W180">
        <v>1521</v>
      </c>
      <c r="X180">
        <v>2029</v>
      </c>
      <c r="Y180">
        <v>2175</v>
      </c>
      <c r="AA180" s="219">
        <v>0.2</v>
      </c>
      <c r="AB180" s="219">
        <v>0.5</v>
      </c>
      <c r="AC180" s="219">
        <v>0.8</v>
      </c>
      <c r="AD180" s="220">
        <v>2267.2000000000098</v>
      </c>
    </row>
    <row r="181" spans="2:30" x14ac:dyDescent="0.2">
      <c r="B181" s="216">
        <f t="shared" si="4"/>
        <v>178</v>
      </c>
      <c r="C181" s="216">
        <f t="shared" si="5"/>
        <v>0.85576923076923073</v>
      </c>
      <c r="D181">
        <v>2117</v>
      </c>
      <c r="E181">
        <v>1970</v>
      </c>
      <c r="F181">
        <v>2088</v>
      </c>
      <c r="G181">
        <v>2196</v>
      </c>
      <c r="H181"/>
      <c r="I181">
        <v>2028</v>
      </c>
      <c r="J181">
        <v>2019</v>
      </c>
      <c r="K181">
        <v>2205</v>
      </c>
      <c r="L181">
        <v>2079</v>
      </c>
      <c r="M181"/>
      <c r="N181">
        <v>2092</v>
      </c>
      <c r="O181">
        <v>2129</v>
      </c>
      <c r="P181">
        <v>2130</v>
      </c>
      <c r="Q181"/>
      <c r="R181">
        <v>2102</v>
      </c>
      <c r="S181">
        <v>2108</v>
      </c>
      <c r="T181">
        <v>2035</v>
      </c>
      <c r="U181">
        <v>1922</v>
      </c>
      <c r="W181">
        <v>1521</v>
      </c>
      <c r="X181">
        <v>2029</v>
      </c>
      <c r="Y181">
        <v>2175</v>
      </c>
      <c r="AA181" s="219">
        <v>0.2</v>
      </c>
      <c r="AB181" s="219">
        <v>0.5</v>
      </c>
      <c r="AC181" s="219">
        <v>0.8</v>
      </c>
      <c r="AD181" s="216">
        <v>2274.4000000000101</v>
      </c>
    </row>
    <row r="182" spans="2:30" x14ac:dyDescent="0.2">
      <c r="B182" s="216">
        <f t="shared" si="4"/>
        <v>179</v>
      </c>
      <c r="C182" s="216">
        <f t="shared" si="5"/>
        <v>0.86057692307692313</v>
      </c>
      <c r="D182">
        <v>2120</v>
      </c>
      <c r="E182">
        <v>1971</v>
      </c>
      <c r="F182">
        <v>2089</v>
      </c>
      <c r="G182">
        <v>2200</v>
      </c>
      <c r="H182"/>
      <c r="I182">
        <v>2028</v>
      </c>
      <c r="J182">
        <v>2019</v>
      </c>
      <c r="K182">
        <v>2209</v>
      </c>
      <c r="L182">
        <v>2096</v>
      </c>
      <c r="M182"/>
      <c r="N182">
        <v>2092</v>
      </c>
      <c r="O182">
        <v>2130</v>
      </c>
      <c r="P182">
        <v>2132</v>
      </c>
      <c r="Q182"/>
      <c r="R182">
        <v>2103</v>
      </c>
      <c r="S182">
        <v>2113</v>
      </c>
      <c r="T182">
        <v>2038</v>
      </c>
      <c r="U182">
        <v>1938</v>
      </c>
      <c r="W182">
        <v>1521</v>
      </c>
      <c r="X182">
        <v>2029</v>
      </c>
      <c r="Y182">
        <v>2175</v>
      </c>
      <c r="AA182" s="219">
        <v>0.2</v>
      </c>
      <c r="AB182" s="219">
        <v>0.5</v>
      </c>
      <c r="AC182" s="219">
        <v>0.8</v>
      </c>
      <c r="AD182" s="220">
        <v>2281.6000000000099</v>
      </c>
    </row>
    <row r="183" spans="2:30" x14ac:dyDescent="0.2">
      <c r="B183" s="216">
        <f t="shared" si="4"/>
        <v>180</v>
      </c>
      <c r="C183" s="216">
        <f t="shared" si="5"/>
        <v>0.86538461538461542</v>
      </c>
      <c r="D183">
        <v>2122</v>
      </c>
      <c r="E183">
        <v>1974</v>
      </c>
      <c r="F183">
        <v>2092</v>
      </c>
      <c r="G183">
        <v>2203</v>
      </c>
      <c r="H183"/>
      <c r="I183">
        <v>2028</v>
      </c>
      <c r="J183">
        <v>2022</v>
      </c>
      <c r="K183">
        <v>2209</v>
      </c>
      <c r="L183">
        <v>2097</v>
      </c>
      <c r="M183"/>
      <c r="N183">
        <v>2093</v>
      </c>
      <c r="O183">
        <v>2138</v>
      </c>
      <c r="P183">
        <v>2133</v>
      </c>
      <c r="Q183"/>
      <c r="R183">
        <v>2105</v>
      </c>
      <c r="S183">
        <v>2115</v>
      </c>
      <c r="T183">
        <v>2040</v>
      </c>
      <c r="U183">
        <v>1952</v>
      </c>
      <c r="W183">
        <v>1521</v>
      </c>
      <c r="X183">
        <v>2029</v>
      </c>
      <c r="Y183">
        <v>2175</v>
      </c>
      <c r="AA183" s="219">
        <v>0.2</v>
      </c>
      <c r="AB183" s="219">
        <v>0.5</v>
      </c>
      <c r="AC183" s="219">
        <v>0.8</v>
      </c>
      <c r="AD183" s="220">
        <v>2288.8000000000102</v>
      </c>
    </row>
    <row r="184" spans="2:30" x14ac:dyDescent="0.2">
      <c r="B184" s="216">
        <f t="shared" si="4"/>
        <v>181</v>
      </c>
      <c r="C184" s="216">
        <f t="shared" si="5"/>
        <v>0.87019230769230771</v>
      </c>
      <c r="D184">
        <v>2126</v>
      </c>
      <c r="E184">
        <v>1976</v>
      </c>
      <c r="F184">
        <v>2092</v>
      </c>
      <c r="G184">
        <v>2203</v>
      </c>
      <c r="H184"/>
      <c r="I184">
        <v>2028</v>
      </c>
      <c r="J184">
        <v>2025</v>
      </c>
      <c r="K184">
        <v>2212</v>
      </c>
      <c r="L184">
        <v>2100</v>
      </c>
      <c r="M184"/>
      <c r="N184">
        <v>2097</v>
      </c>
      <c r="O184">
        <v>2139</v>
      </c>
      <c r="P184">
        <v>2143</v>
      </c>
      <c r="Q184"/>
      <c r="R184">
        <v>2106</v>
      </c>
      <c r="S184">
        <v>2126</v>
      </c>
      <c r="T184">
        <v>2042</v>
      </c>
      <c r="U184">
        <v>1961</v>
      </c>
      <c r="W184">
        <v>1521</v>
      </c>
      <c r="X184">
        <v>2029</v>
      </c>
      <c r="Y184">
        <v>2175</v>
      </c>
      <c r="AA184" s="219">
        <v>0.2</v>
      </c>
      <c r="AB184" s="219">
        <v>0.5</v>
      </c>
      <c r="AC184" s="219">
        <v>0.8</v>
      </c>
      <c r="AD184" s="216">
        <v>2296.00000000001</v>
      </c>
    </row>
    <row r="185" spans="2:30" x14ac:dyDescent="0.2">
      <c r="B185" s="216">
        <f t="shared" si="4"/>
        <v>182</v>
      </c>
      <c r="C185" s="216">
        <f t="shared" si="5"/>
        <v>0.875</v>
      </c>
      <c r="D185">
        <v>2127</v>
      </c>
      <c r="E185">
        <v>1979</v>
      </c>
      <c r="F185">
        <v>2096</v>
      </c>
      <c r="G185">
        <v>2203</v>
      </c>
      <c r="H185"/>
      <c r="I185">
        <v>2028</v>
      </c>
      <c r="J185">
        <v>2026</v>
      </c>
      <c r="K185">
        <v>2223</v>
      </c>
      <c r="L185">
        <v>2102</v>
      </c>
      <c r="M185"/>
      <c r="N185">
        <v>2100</v>
      </c>
      <c r="O185">
        <v>2142</v>
      </c>
      <c r="P185">
        <v>2145</v>
      </c>
      <c r="Q185"/>
      <c r="R185">
        <v>2108</v>
      </c>
      <c r="S185">
        <v>2130</v>
      </c>
      <c r="T185">
        <v>2042</v>
      </c>
      <c r="U185">
        <v>1986</v>
      </c>
      <c r="W185">
        <v>1521</v>
      </c>
      <c r="X185">
        <v>2029</v>
      </c>
      <c r="Y185">
        <v>2175</v>
      </c>
      <c r="AA185" s="219">
        <v>0.2</v>
      </c>
      <c r="AB185" s="219">
        <v>0.5</v>
      </c>
      <c r="AC185" s="219">
        <v>0.8</v>
      </c>
      <c r="AD185" s="220">
        <v>2303.2000000000098</v>
      </c>
    </row>
    <row r="186" spans="2:30" x14ac:dyDescent="0.2">
      <c r="B186" s="216">
        <f t="shared" si="4"/>
        <v>183</v>
      </c>
      <c r="C186" s="216">
        <f t="shared" si="5"/>
        <v>0.87980769230769229</v>
      </c>
      <c r="D186">
        <v>2129</v>
      </c>
      <c r="E186">
        <v>1987</v>
      </c>
      <c r="F186">
        <v>2098</v>
      </c>
      <c r="G186">
        <v>2204</v>
      </c>
      <c r="H186"/>
      <c r="I186">
        <v>2028</v>
      </c>
      <c r="J186">
        <v>2026</v>
      </c>
      <c r="K186">
        <v>2223</v>
      </c>
      <c r="L186">
        <v>2116</v>
      </c>
      <c r="M186"/>
      <c r="N186">
        <v>2100</v>
      </c>
      <c r="O186">
        <v>2142</v>
      </c>
      <c r="P186">
        <v>2147</v>
      </c>
      <c r="Q186"/>
      <c r="R186">
        <v>2109</v>
      </c>
      <c r="S186">
        <v>2139</v>
      </c>
      <c r="T186">
        <v>2050</v>
      </c>
      <c r="U186">
        <v>1987</v>
      </c>
      <c r="W186">
        <v>1521</v>
      </c>
      <c r="X186">
        <v>2029</v>
      </c>
      <c r="Y186">
        <v>2175</v>
      </c>
      <c r="AA186" s="219">
        <v>0.2</v>
      </c>
      <c r="AB186" s="219">
        <v>0.5</v>
      </c>
      <c r="AC186" s="219">
        <v>0.8</v>
      </c>
      <c r="AD186" s="220">
        <v>2310.4000000000101</v>
      </c>
    </row>
    <row r="187" spans="2:30" x14ac:dyDescent="0.2">
      <c r="B187" s="216">
        <f t="shared" si="4"/>
        <v>184</v>
      </c>
      <c r="C187" s="216">
        <f t="shared" si="5"/>
        <v>0.88461538461538458</v>
      </c>
      <c r="D187">
        <v>2130</v>
      </c>
      <c r="E187">
        <v>1988</v>
      </c>
      <c r="F187">
        <v>2099</v>
      </c>
      <c r="G187">
        <v>2206</v>
      </c>
      <c r="H187"/>
      <c r="I187">
        <v>2028</v>
      </c>
      <c r="J187">
        <v>2026</v>
      </c>
      <c r="K187">
        <v>2229</v>
      </c>
      <c r="L187">
        <v>2118</v>
      </c>
      <c r="M187"/>
      <c r="N187">
        <v>2102</v>
      </c>
      <c r="O187">
        <v>2143</v>
      </c>
      <c r="P187">
        <v>2149</v>
      </c>
      <c r="Q187"/>
      <c r="R187">
        <v>2110</v>
      </c>
      <c r="S187">
        <v>2148</v>
      </c>
      <c r="T187">
        <v>2051</v>
      </c>
      <c r="U187">
        <v>1999</v>
      </c>
      <c r="W187">
        <v>1521</v>
      </c>
      <c r="X187">
        <v>2029</v>
      </c>
      <c r="Y187">
        <v>2175</v>
      </c>
      <c r="AA187" s="219">
        <v>0.2</v>
      </c>
      <c r="AB187" s="219">
        <v>0.5</v>
      </c>
      <c r="AC187" s="219">
        <v>0.8</v>
      </c>
      <c r="AD187" s="216">
        <v>2317.6000000000099</v>
      </c>
    </row>
    <row r="188" spans="2:30" x14ac:dyDescent="0.2">
      <c r="B188" s="216">
        <f t="shared" si="4"/>
        <v>185</v>
      </c>
      <c r="C188" s="216">
        <f t="shared" si="5"/>
        <v>0.88942307692307687</v>
      </c>
      <c r="D188">
        <v>2133</v>
      </c>
      <c r="E188">
        <v>1996</v>
      </c>
      <c r="F188">
        <v>2100</v>
      </c>
      <c r="G188">
        <v>2206</v>
      </c>
      <c r="H188"/>
      <c r="I188">
        <v>2028</v>
      </c>
      <c r="J188">
        <v>2027</v>
      </c>
      <c r="K188">
        <v>2236</v>
      </c>
      <c r="L188">
        <v>2120</v>
      </c>
      <c r="M188"/>
      <c r="N188">
        <v>2105</v>
      </c>
      <c r="O188">
        <v>2147</v>
      </c>
      <c r="P188">
        <v>2150</v>
      </c>
      <c r="Q188"/>
      <c r="R188">
        <v>2116</v>
      </c>
      <c r="S188">
        <v>2160</v>
      </c>
      <c r="T188">
        <v>2070</v>
      </c>
      <c r="U188">
        <v>2013</v>
      </c>
      <c r="W188">
        <v>1521</v>
      </c>
      <c r="X188">
        <v>2029</v>
      </c>
      <c r="Y188">
        <v>2175</v>
      </c>
      <c r="AA188" s="219">
        <v>0.2</v>
      </c>
      <c r="AB188" s="219">
        <v>0.5</v>
      </c>
      <c r="AC188" s="219">
        <v>0.8</v>
      </c>
      <c r="AD188" s="220">
        <v>2324.8000000000102</v>
      </c>
    </row>
    <row r="189" spans="2:30" x14ac:dyDescent="0.2">
      <c r="B189" s="216">
        <f t="shared" si="4"/>
        <v>186</v>
      </c>
      <c r="C189" s="216">
        <f t="shared" si="5"/>
        <v>0.89423076923076927</v>
      </c>
      <c r="D189">
        <v>2139</v>
      </c>
      <c r="E189">
        <v>2001</v>
      </c>
      <c r="F189">
        <v>2100</v>
      </c>
      <c r="G189">
        <v>2207</v>
      </c>
      <c r="H189"/>
      <c r="I189">
        <v>2028</v>
      </c>
      <c r="J189">
        <v>2028</v>
      </c>
      <c r="K189">
        <v>2243</v>
      </c>
      <c r="L189">
        <v>2125</v>
      </c>
      <c r="M189"/>
      <c r="N189">
        <v>2105</v>
      </c>
      <c r="O189">
        <v>2150</v>
      </c>
      <c r="P189">
        <v>2155</v>
      </c>
      <c r="Q189"/>
      <c r="R189">
        <v>2130</v>
      </c>
      <c r="S189">
        <v>2163</v>
      </c>
      <c r="T189">
        <v>2072</v>
      </c>
      <c r="U189">
        <v>2019</v>
      </c>
      <c r="W189">
        <v>1521</v>
      </c>
      <c r="X189">
        <v>2029</v>
      </c>
      <c r="Y189">
        <v>2175</v>
      </c>
      <c r="AA189" s="219">
        <v>0.2</v>
      </c>
      <c r="AB189" s="219">
        <v>0.5</v>
      </c>
      <c r="AC189" s="219">
        <v>0.8</v>
      </c>
      <c r="AD189" s="220">
        <v>2332.00000000001</v>
      </c>
    </row>
    <row r="190" spans="2:30" x14ac:dyDescent="0.2">
      <c r="B190" s="216">
        <f t="shared" si="4"/>
        <v>187</v>
      </c>
      <c r="C190" s="216">
        <f t="shared" si="5"/>
        <v>0.89903846153846156</v>
      </c>
      <c r="D190">
        <v>2142</v>
      </c>
      <c r="E190">
        <v>2004</v>
      </c>
      <c r="F190">
        <v>2102</v>
      </c>
      <c r="G190">
        <v>2209</v>
      </c>
      <c r="H190"/>
      <c r="I190">
        <v>2029</v>
      </c>
      <c r="J190">
        <v>2028</v>
      </c>
      <c r="K190">
        <v>2250</v>
      </c>
      <c r="L190">
        <v>2129</v>
      </c>
      <c r="M190"/>
      <c r="N190">
        <v>2110</v>
      </c>
      <c r="O190">
        <v>2150</v>
      </c>
      <c r="P190">
        <v>2160</v>
      </c>
      <c r="Q190"/>
      <c r="R190">
        <v>2132</v>
      </c>
      <c r="S190">
        <v>2166</v>
      </c>
      <c r="T190">
        <v>2085</v>
      </c>
      <c r="U190">
        <v>2019</v>
      </c>
      <c r="W190">
        <v>1521</v>
      </c>
      <c r="X190">
        <v>2029</v>
      </c>
      <c r="Y190">
        <v>2175</v>
      </c>
      <c r="AA190" s="219">
        <v>0.2</v>
      </c>
      <c r="AB190" s="219">
        <v>0.5</v>
      </c>
      <c r="AC190" s="219">
        <v>0.8</v>
      </c>
      <c r="AD190" s="216">
        <v>2339.2000000000098</v>
      </c>
    </row>
    <row r="191" spans="2:30" x14ac:dyDescent="0.2">
      <c r="B191" s="216">
        <f t="shared" si="4"/>
        <v>188</v>
      </c>
      <c r="C191" s="216">
        <f t="shared" si="5"/>
        <v>0.90384615384615385</v>
      </c>
      <c r="D191">
        <v>2143</v>
      </c>
      <c r="E191">
        <v>2006</v>
      </c>
      <c r="F191">
        <v>2123</v>
      </c>
      <c r="G191">
        <v>2213</v>
      </c>
      <c r="H191"/>
      <c r="I191">
        <v>2029</v>
      </c>
      <c r="J191">
        <v>2028</v>
      </c>
      <c r="K191">
        <v>2252</v>
      </c>
      <c r="L191">
        <v>2129</v>
      </c>
      <c r="M191"/>
      <c r="N191">
        <v>2112</v>
      </c>
      <c r="O191">
        <v>2150</v>
      </c>
      <c r="P191">
        <v>2167</v>
      </c>
      <c r="Q191"/>
      <c r="R191">
        <v>2137</v>
      </c>
      <c r="S191">
        <v>2179</v>
      </c>
      <c r="T191">
        <v>2099</v>
      </c>
      <c r="U191">
        <v>2021</v>
      </c>
      <c r="W191">
        <v>1521</v>
      </c>
      <c r="X191">
        <v>2029</v>
      </c>
      <c r="Y191">
        <v>2175</v>
      </c>
      <c r="AA191" s="219">
        <v>0.2</v>
      </c>
      <c r="AB191" s="219">
        <v>0.5</v>
      </c>
      <c r="AC191" s="219">
        <v>0.8</v>
      </c>
      <c r="AD191" s="220">
        <v>2346.4000000000101</v>
      </c>
    </row>
    <row r="192" spans="2:30" x14ac:dyDescent="0.2">
      <c r="B192" s="216">
        <f t="shared" si="4"/>
        <v>189</v>
      </c>
      <c r="C192" s="216">
        <f t="shared" si="5"/>
        <v>0.90865384615384615</v>
      </c>
      <c r="D192">
        <v>2147</v>
      </c>
      <c r="E192">
        <v>2006</v>
      </c>
      <c r="F192">
        <v>2130</v>
      </c>
      <c r="G192">
        <v>2215</v>
      </c>
      <c r="H192"/>
      <c r="I192">
        <v>2029</v>
      </c>
      <c r="J192">
        <v>2028</v>
      </c>
      <c r="K192">
        <v>2269</v>
      </c>
      <c r="L192">
        <v>2130</v>
      </c>
      <c r="M192"/>
      <c r="N192">
        <v>2112</v>
      </c>
      <c r="O192">
        <v>2156</v>
      </c>
      <c r="P192">
        <v>2169</v>
      </c>
      <c r="Q192"/>
      <c r="R192">
        <v>2149</v>
      </c>
      <c r="S192">
        <v>2179</v>
      </c>
      <c r="T192">
        <v>2130</v>
      </c>
      <c r="U192">
        <v>2022</v>
      </c>
      <c r="W192">
        <v>1521</v>
      </c>
      <c r="X192">
        <v>2029</v>
      </c>
      <c r="Y192">
        <v>2175</v>
      </c>
      <c r="AA192" s="219">
        <v>0.2</v>
      </c>
      <c r="AB192" s="219">
        <v>0.5</v>
      </c>
      <c r="AC192" s="219">
        <v>0.8</v>
      </c>
      <c r="AD192" s="220">
        <v>2353.6000000000099</v>
      </c>
    </row>
    <row r="193" spans="2:30" x14ac:dyDescent="0.2">
      <c r="B193" s="216">
        <f t="shared" si="4"/>
        <v>190</v>
      </c>
      <c r="C193" s="216">
        <f t="shared" si="5"/>
        <v>0.91346153846153844</v>
      </c>
      <c r="D193">
        <v>2148</v>
      </c>
      <c r="E193">
        <v>2009</v>
      </c>
      <c r="F193">
        <v>2130</v>
      </c>
      <c r="G193">
        <v>2216</v>
      </c>
      <c r="H193"/>
      <c r="I193">
        <v>2029</v>
      </c>
      <c r="J193">
        <v>2028</v>
      </c>
      <c r="K193">
        <v>2280</v>
      </c>
      <c r="L193">
        <v>2133</v>
      </c>
      <c r="M193"/>
      <c r="N193">
        <v>2125</v>
      </c>
      <c r="O193">
        <v>2166</v>
      </c>
      <c r="P193">
        <v>2169</v>
      </c>
      <c r="Q193"/>
      <c r="R193">
        <v>2156</v>
      </c>
      <c r="S193">
        <v>2187</v>
      </c>
      <c r="T193">
        <v>2138</v>
      </c>
      <c r="U193">
        <v>2038</v>
      </c>
      <c r="W193">
        <v>1521</v>
      </c>
      <c r="X193">
        <v>2029</v>
      </c>
      <c r="Y193">
        <v>2175</v>
      </c>
      <c r="AA193" s="219">
        <v>0.2</v>
      </c>
      <c r="AB193" s="219">
        <v>0.5</v>
      </c>
      <c r="AC193" s="219">
        <v>0.8</v>
      </c>
      <c r="AD193" s="216">
        <v>2360.8000000000102</v>
      </c>
    </row>
    <row r="194" spans="2:30" x14ac:dyDescent="0.2">
      <c r="B194" s="216">
        <f t="shared" si="4"/>
        <v>191</v>
      </c>
      <c r="C194" s="216">
        <f t="shared" si="5"/>
        <v>0.91826923076923073</v>
      </c>
      <c r="D194">
        <v>2149</v>
      </c>
      <c r="E194">
        <v>2011</v>
      </c>
      <c r="F194">
        <v>2136</v>
      </c>
      <c r="G194">
        <v>2219</v>
      </c>
      <c r="H194"/>
      <c r="I194">
        <v>2030</v>
      </c>
      <c r="J194">
        <v>2028</v>
      </c>
      <c r="K194">
        <v>2286</v>
      </c>
      <c r="L194">
        <v>2140</v>
      </c>
      <c r="M194"/>
      <c r="N194">
        <v>2127</v>
      </c>
      <c r="O194">
        <v>2172</v>
      </c>
      <c r="P194">
        <v>2169</v>
      </c>
      <c r="Q194"/>
      <c r="R194">
        <v>2158</v>
      </c>
      <c r="S194">
        <v>2199</v>
      </c>
      <c r="T194">
        <v>2147</v>
      </c>
      <c r="U194">
        <v>2039</v>
      </c>
      <c r="W194">
        <v>1521</v>
      </c>
      <c r="X194">
        <v>2029</v>
      </c>
      <c r="Y194">
        <v>2175</v>
      </c>
      <c r="AA194" s="219">
        <v>0.2</v>
      </c>
      <c r="AB194" s="219">
        <v>0.5</v>
      </c>
      <c r="AC194" s="219">
        <v>0.8</v>
      </c>
      <c r="AD194" s="220">
        <v>2368.00000000001</v>
      </c>
    </row>
    <row r="195" spans="2:30" x14ac:dyDescent="0.2">
      <c r="B195" s="216">
        <f t="shared" si="4"/>
        <v>192</v>
      </c>
      <c r="C195" s="216">
        <f t="shared" si="5"/>
        <v>0.92307692307692313</v>
      </c>
      <c r="D195">
        <v>2149</v>
      </c>
      <c r="E195">
        <v>2012</v>
      </c>
      <c r="F195">
        <v>2139</v>
      </c>
      <c r="G195">
        <v>2219</v>
      </c>
      <c r="H195"/>
      <c r="I195">
        <v>2030</v>
      </c>
      <c r="J195">
        <v>2030</v>
      </c>
      <c r="K195">
        <v>2300</v>
      </c>
      <c r="L195">
        <v>2143</v>
      </c>
      <c r="M195"/>
      <c r="N195">
        <v>2128</v>
      </c>
      <c r="O195">
        <v>2173</v>
      </c>
      <c r="P195">
        <v>2170</v>
      </c>
      <c r="Q195"/>
      <c r="R195">
        <v>2161</v>
      </c>
      <c r="S195">
        <v>2209</v>
      </c>
      <c r="T195">
        <v>2153</v>
      </c>
      <c r="U195">
        <v>2042</v>
      </c>
      <c r="W195">
        <v>1521</v>
      </c>
      <c r="X195">
        <v>2029</v>
      </c>
      <c r="Y195">
        <v>2175</v>
      </c>
      <c r="AA195" s="219">
        <v>0.2</v>
      </c>
      <c r="AB195" s="219">
        <v>0.5</v>
      </c>
      <c r="AC195" s="219">
        <v>0.8</v>
      </c>
      <c r="AD195" s="220">
        <v>2375.2000000000098</v>
      </c>
    </row>
    <row r="196" spans="2:30" x14ac:dyDescent="0.2">
      <c r="B196" s="216">
        <f t="shared" si="4"/>
        <v>193</v>
      </c>
      <c r="C196" s="216">
        <f t="shared" si="5"/>
        <v>0.92788461538461542</v>
      </c>
      <c r="D196">
        <v>2152</v>
      </c>
      <c r="E196">
        <v>2012</v>
      </c>
      <c r="F196">
        <v>2146</v>
      </c>
      <c r="G196">
        <v>2227</v>
      </c>
      <c r="H196"/>
      <c r="I196">
        <v>2032</v>
      </c>
      <c r="J196">
        <v>2031</v>
      </c>
      <c r="K196">
        <v>2300</v>
      </c>
      <c r="L196">
        <v>2152</v>
      </c>
      <c r="M196"/>
      <c r="N196">
        <v>2130</v>
      </c>
      <c r="O196">
        <v>2175</v>
      </c>
      <c r="P196">
        <v>2182</v>
      </c>
      <c r="Q196"/>
      <c r="R196">
        <v>2182</v>
      </c>
      <c r="S196">
        <v>2219</v>
      </c>
      <c r="T196">
        <v>2159</v>
      </c>
      <c r="U196">
        <v>2082</v>
      </c>
      <c r="W196">
        <v>1521</v>
      </c>
      <c r="X196">
        <v>2029</v>
      </c>
      <c r="Y196">
        <v>2175</v>
      </c>
      <c r="AA196" s="219">
        <v>0.2</v>
      </c>
      <c r="AB196" s="219">
        <v>0.5</v>
      </c>
      <c r="AC196" s="219">
        <v>0.8</v>
      </c>
      <c r="AD196" s="216">
        <v>2382.4000000000101</v>
      </c>
    </row>
    <row r="197" spans="2:30" x14ac:dyDescent="0.2">
      <c r="B197" s="216">
        <f t="shared" si="4"/>
        <v>194</v>
      </c>
      <c r="C197" s="216">
        <f t="shared" si="5"/>
        <v>0.93269230769230771</v>
      </c>
      <c r="D197">
        <v>2152</v>
      </c>
      <c r="E197">
        <v>2027</v>
      </c>
      <c r="F197">
        <v>2152</v>
      </c>
      <c r="G197">
        <v>2233</v>
      </c>
      <c r="H197"/>
      <c r="I197">
        <v>2032</v>
      </c>
      <c r="J197">
        <v>2032</v>
      </c>
      <c r="K197">
        <v>2300</v>
      </c>
      <c r="L197">
        <v>2162</v>
      </c>
      <c r="M197"/>
      <c r="N197">
        <v>2130</v>
      </c>
      <c r="O197">
        <v>2185</v>
      </c>
      <c r="P197">
        <v>2182</v>
      </c>
      <c r="Q197"/>
      <c r="R197">
        <v>2182</v>
      </c>
      <c r="S197">
        <v>2220</v>
      </c>
      <c r="T197">
        <v>2166</v>
      </c>
      <c r="U197">
        <v>2086</v>
      </c>
      <c r="W197">
        <v>1521</v>
      </c>
      <c r="X197">
        <v>2029</v>
      </c>
      <c r="Y197">
        <v>2175</v>
      </c>
      <c r="AA197" s="219">
        <v>0.2</v>
      </c>
      <c r="AB197" s="219">
        <v>0.5</v>
      </c>
      <c r="AC197" s="219">
        <v>0.8</v>
      </c>
      <c r="AD197" s="220">
        <v>2389.6000000000099</v>
      </c>
    </row>
    <row r="198" spans="2:30" x14ac:dyDescent="0.2">
      <c r="B198" s="216">
        <f t="shared" ref="B198:B210" si="6">B197+1</f>
        <v>195</v>
      </c>
      <c r="C198" s="216">
        <f t="shared" si="5"/>
        <v>0.9375</v>
      </c>
      <c r="D198">
        <v>2160</v>
      </c>
      <c r="E198">
        <v>2028</v>
      </c>
      <c r="F198">
        <v>2153</v>
      </c>
      <c r="G198">
        <v>2240</v>
      </c>
      <c r="H198"/>
      <c r="I198">
        <v>2035</v>
      </c>
      <c r="J198">
        <v>2032</v>
      </c>
      <c r="K198">
        <v>2300</v>
      </c>
      <c r="L198">
        <v>2169</v>
      </c>
      <c r="M198"/>
      <c r="N198">
        <v>2133</v>
      </c>
      <c r="O198">
        <v>2200</v>
      </c>
      <c r="P198">
        <v>2186</v>
      </c>
      <c r="Q198"/>
      <c r="R198">
        <v>2183</v>
      </c>
      <c r="S198">
        <v>2229</v>
      </c>
      <c r="T198">
        <v>2179</v>
      </c>
      <c r="U198">
        <v>2107</v>
      </c>
      <c r="W198">
        <v>1521</v>
      </c>
      <c r="X198">
        <v>2029</v>
      </c>
      <c r="Y198">
        <v>2175</v>
      </c>
      <c r="AA198" s="219">
        <v>0.2</v>
      </c>
      <c r="AB198" s="219">
        <v>0.5</v>
      </c>
      <c r="AC198" s="219">
        <v>0.8</v>
      </c>
      <c r="AD198" s="220">
        <v>2396.8000000000102</v>
      </c>
    </row>
    <row r="199" spans="2:30" x14ac:dyDescent="0.2">
      <c r="B199" s="216">
        <f t="shared" si="6"/>
        <v>196</v>
      </c>
      <c r="C199" s="216">
        <f t="shared" ref="C199:C211" si="7">B199/$B$211</f>
        <v>0.94230769230769229</v>
      </c>
      <c r="D199">
        <v>2162</v>
      </c>
      <c r="E199">
        <v>2029</v>
      </c>
      <c r="F199">
        <v>2155</v>
      </c>
      <c r="G199">
        <v>2240</v>
      </c>
      <c r="H199"/>
      <c r="I199">
        <v>2036</v>
      </c>
      <c r="J199">
        <v>2033</v>
      </c>
      <c r="K199">
        <v>2302</v>
      </c>
      <c r="L199">
        <v>2173</v>
      </c>
      <c r="M199"/>
      <c r="N199">
        <v>2135</v>
      </c>
      <c r="O199">
        <v>2200</v>
      </c>
      <c r="P199">
        <v>2189</v>
      </c>
      <c r="Q199"/>
      <c r="R199">
        <v>2200</v>
      </c>
      <c r="S199">
        <v>2230</v>
      </c>
      <c r="T199">
        <v>2199</v>
      </c>
      <c r="U199">
        <v>2130</v>
      </c>
      <c r="W199">
        <v>1521</v>
      </c>
      <c r="X199">
        <v>2029</v>
      </c>
      <c r="Y199">
        <v>2175</v>
      </c>
      <c r="AA199" s="219">
        <v>0.2</v>
      </c>
      <c r="AB199" s="219">
        <v>0.5</v>
      </c>
      <c r="AC199" s="219">
        <v>0.8</v>
      </c>
      <c r="AD199" s="216">
        <v>2404.00000000001</v>
      </c>
    </row>
    <row r="200" spans="2:30" x14ac:dyDescent="0.2">
      <c r="B200" s="216">
        <f t="shared" si="6"/>
        <v>197</v>
      </c>
      <c r="C200" s="216">
        <f t="shared" si="7"/>
        <v>0.94711538461538458</v>
      </c>
      <c r="D200">
        <v>2163</v>
      </c>
      <c r="E200">
        <v>2029</v>
      </c>
      <c r="F200">
        <v>2169</v>
      </c>
      <c r="G200">
        <v>2249</v>
      </c>
      <c r="H200"/>
      <c r="I200">
        <v>2039</v>
      </c>
      <c r="J200">
        <v>2046</v>
      </c>
      <c r="K200">
        <v>2303</v>
      </c>
      <c r="L200">
        <v>2175</v>
      </c>
      <c r="M200"/>
      <c r="N200">
        <v>2137</v>
      </c>
      <c r="O200">
        <v>2203</v>
      </c>
      <c r="P200">
        <v>2196</v>
      </c>
      <c r="Q200"/>
      <c r="R200">
        <v>2201</v>
      </c>
      <c r="S200">
        <v>2243</v>
      </c>
      <c r="T200">
        <v>2205</v>
      </c>
      <c r="U200">
        <v>2135</v>
      </c>
      <c r="W200">
        <v>1521</v>
      </c>
      <c r="X200">
        <v>2029</v>
      </c>
      <c r="Y200">
        <v>2175</v>
      </c>
      <c r="AA200" s="219">
        <v>0.2</v>
      </c>
      <c r="AB200" s="219">
        <v>0.5</v>
      </c>
      <c r="AC200" s="219">
        <v>0.8</v>
      </c>
      <c r="AD200" s="220">
        <v>2411.2000000000098</v>
      </c>
    </row>
    <row r="201" spans="2:30" x14ac:dyDescent="0.2">
      <c r="B201" s="216">
        <f t="shared" si="6"/>
        <v>198</v>
      </c>
      <c r="C201" s="216">
        <f t="shared" si="7"/>
        <v>0.95192307692307687</v>
      </c>
      <c r="D201">
        <v>2167</v>
      </c>
      <c r="E201">
        <v>2029</v>
      </c>
      <c r="F201">
        <v>2177</v>
      </c>
      <c r="G201">
        <v>2249</v>
      </c>
      <c r="H201"/>
      <c r="I201">
        <v>2045</v>
      </c>
      <c r="J201">
        <v>2047</v>
      </c>
      <c r="K201">
        <v>2306</v>
      </c>
      <c r="L201">
        <v>2175</v>
      </c>
      <c r="M201"/>
      <c r="N201">
        <v>2145</v>
      </c>
      <c r="O201">
        <v>2210</v>
      </c>
      <c r="P201">
        <v>2203</v>
      </c>
      <c r="Q201"/>
      <c r="R201">
        <v>2202</v>
      </c>
      <c r="S201">
        <v>2249</v>
      </c>
      <c r="T201">
        <v>2206</v>
      </c>
      <c r="U201">
        <v>2169</v>
      </c>
      <c r="W201">
        <v>1521</v>
      </c>
      <c r="X201">
        <v>2029</v>
      </c>
      <c r="Y201">
        <v>2175</v>
      </c>
      <c r="AA201" s="219">
        <v>0.2</v>
      </c>
      <c r="AB201" s="219">
        <v>0.5</v>
      </c>
      <c r="AC201" s="219">
        <v>0.8</v>
      </c>
      <c r="AD201" s="220">
        <v>2418.4000000000101</v>
      </c>
    </row>
    <row r="202" spans="2:30" x14ac:dyDescent="0.2">
      <c r="B202" s="216">
        <f t="shared" si="6"/>
        <v>199</v>
      </c>
      <c r="C202" s="216">
        <f t="shared" si="7"/>
        <v>0.95673076923076927</v>
      </c>
      <c r="D202">
        <v>2175</v>
      </c>
      <c r="E202">
        <v>2033</v>
      </c>
      <c r="F202">
        <v>2179</v>
      </c>
      <c r="G202">
        <v>2252</v>
      </c>
      <c r="H202"/>
      <c r="I202">
        <v>2049</v>
      </c>
      <c r="J202">
        <v>2051</v>
      </c>
      <c r="K202">
        <v>2320</v>
      </c>
      <c r="L202">
        <v>2183</v>
      </c>
      <c r="M202"/>
      <c r="N202">
        <v>2147</v>
      </c>
      <c r="O202">
        <v>2213</v>
      </c>
      <c r="P202">
        <v>2209</v>
      </c>
      <c r="Q202"/>
      <c r="R202">
        <v>2206</v>
      </c>
      <c r="S202">
        <v>2266</v>
      </c>
      <c r="T202">
        <v>2213</v>
      </c>
      <c r="U202">
        <v>2193</v>
      </c>
      <c r="W202">
        <v>1521</v>
      </c>
      <c r="X202">
        <v>2029</v>
      </c>
      <c r="Y202">
        <v>2175</v>
      </c>
      <c r="AA202" s="219">
        <v>0.2</v>
      </c>
      <c r="AB202" s="219">
        <v>0.5</v>
      </c>
      <c r="AC202" s="219">
        <v>0.8</v>
      </c>
      <c r="AD202" s="216">
        <v>2425.6000000000099</v>
      </c>
    </row>
    <row r="203" spans="2:30" x14ac:dyDescent="0.2">
      <c r="B203" s="216">
        <f t="shared" si="6"/>
        <v>200</v>
      </c>
      <c r="C203" s="216">
        <f t="shared" si="7"/>
        <v>0.96153846153846156</v>
      </c>
      <c r="D203">
        <v>2183</v>
      </c>
      <c r="E203">
        <v>2035</v>
      </c>
      <c r="F203">
        <v>2180</v>
      </c>
      <c r="G203">
        <v>2257</v>
      </c>
      <c r="H203"/>
      <c r="I203">
        <v>2051</v>
      </c>
      <c r="J203">
        <v>2054</v>
      </c>
      <c r="K203">
        <v>2340</v>
      </c>
      <c r="L203">
        <v>2185</v>
      </c>
      <c r="M203"/>
      <c r="N203">
        <v>2148</v>
      </c>
      <c r="O203">
        <v>2219</v>
      </c>
      <c r="P203">
        <v>2212</v>
      </c>
      <c r="Q203"/>
      <c r="R203">
        <v>2212</v>
      </c>
      <c r="S203">
        <v>2280</v>
      </c>
      <c r="T203">
        <v>2269</v>
      </c>
      <c r="U203">
        <v>2199</v>
      </c>
      <c r="W203">
        <v>1521</v>
      </c>
      <c r="X203">
        <v>2029</v>
      </c>
      <c r="Y203">
        <v>2175</v>
      </c>
      <c r="AA203" s="219">
        <v>0.2</v>
      </c>
      <c r="AB203" s="219">
        <v>0.5</v>
      </c>
      <c r="AC203" s="219">
        <v>0.8</v>
      </c>
      <c r="AD203" s="220">
        <v>2432.8000000000102</v>
      </c>
    </row>
    <row r="204" spans="2:30" x14ac:dyDescent="0.2">
      <c r="B204" s="216">
        <f t="shared" si="6"/>
        <v>201</v>
      </c>
      <c r="C204" s="216">
        <f t="shared" si="7"/>
        <v>0.96634615384615385</v>
      </c>
      <c r="D204">
        <v>2199</v>
      </c>
      <c r="E204">
        <v>2055</v>
      </c>
      <c r="F204">
        <v>2180</v>
      </c>
      <c r="G204">
        <v>2266</v>
      </c>
      <c r="H204"/>
      <c r="I204">
        <v>2058</v>
      </c>
      <c r="J204">
        <v>2068</v>
      </c>
      <c r="K204">
        <v>2346</v>
      </c>
      <c r="L204">
        <v>2206</v>
      </c>
      <c r="M204"/>
      <c r="N204">
        <v>2165</v>
      </c>
      <c r="O204">
        <v>2225</v>
      </c>
      <c r="P204">
        <v>2215</v>
      </c>
      <c r="Q204"/>
      <c r="R204">
        <v>2226</v>
      </c>
      <c r="S204">
        <v>2286</v>
      </c>
      <c r="T204">
        <v>2283</v>
      </c>
      <c r="U204">
        <v>2202</v>
      </c>
      <c r="W204">
        <v>1521</v>
      </c>
      <c r="X204">
        <v>2029</v>
      </c>
      <c r="Y204">
        <v>2175</v>
      </c>
      <c r="AA204" s="219">
        <v>0.2</v>
      </c>
      <c r="AB204" s="219">
        <v>0.5</v>
      </c>
      <c r="AC204" s="219">
        <v>0.8</v>
      </c>
      <c r="AD204" s="220">
        <v>2440.00000000001</v>
      </c>
    </row>
    <row r="205" spans="2:30" x14ac:dyDescent="0.2">
      <c r="B205" s="216">
        <f t="shared" si="6"/>
        <v>202</v>
      </c>
      <c r="C205" s="216">
        <f t="shared" si="7"/>
        <v>0.97115384615384615</v>
      </c>
      <c r="D205">
        <v>2206</v>
      </c>
      <c r="E205">
        <v>2102</v>
      </c>
      <c r="F205">
        <v>2189</v>
      </c>
      <c r="G205">
        <v>2279</v>
      </c>
      <c r="H205"/>
      <c r="I205">
        <v>2071</v>
      </c>
      <c r="J205">
        <v>2076</v>
      </c>
      <c r="K205">
        <v>2353</v>
      </c>
      <c r="L205">
        <v>2225</v>
      </c>
      <c r="M205"/>
      <c r="N205">
        <v>2169</v>
      </c>
      <c r="O205">
        <v>2229</v>
      </c>
      <c r="P205">
        <v>2215</v>
      </c>
      <c r="Q205"/>
      <c r="R205">
        <v>2226</v>
      </c>
      <c r="S205">
        <v>2292</v>
      </c>
      <c r="T205">
        <v>2290</v>
      </c>
      <c r="U205">
        <v>2210</v>
      </c>
      <c r="W205">
        <v>1521</v>
      </c>
      <c r="X205">
        <v>2029</v>
      </c>
      <c r="Y205">
        <v>2175</v>
      </c>
      <c r="AA205" s="219">
        <v>0.2</v>
      </c>
      <c r="AB205" s="219">
        <v>0.5</v>
      </c>
      <c r="AC205" s="219">
        <v>0.8</v>
      </c>
      <c r="AD205" s="216">
        <v>2447.2000000000098</v>
      </c>
    </row>
    <row r="206" spans="2:30" x14ac:dyDescent="0.2">
      <c r="B206" s="216">
        <f t="shared" si="6"/>
        <v>203</v>
      </c>
      <c r="C206" s="216">
        <f t="shared" si="7"/>
        <v>0.97596153846153844</v>
      </c>
      <c r="D206">
        <v>2213</v>
      </c>
      <c r="E206">
        <v>2120</v>
      </c>
      <c r="F206">
        <v>2204</v>
      </c>
      <c r="G206">
        <v>2280</v>
      </c>
      <c r="H206"/>
      <c r="I206">
        <v>2100</v>
      </c>
      <c r="J206">
        <v>2097</v>
      </c>
      <c r="K206">
        <v>2360</v>
      </c>
      <c r="L206">
        <v>2226</v>
      </c>
      <c r="M206"/>
      <c r="N206">
        <v>2176</v>
      </c>
      <c r="O206">
        <v>2229</v>
      </c>
      <c r="P206">
        <v>2239</v>
      </c>
      <c r="Q206"/>
      <c r="R206">
        <v>2233</v>
      </c>
      <c r="S206">
        <v>2305</v>
      </c>
      <c r="T206">
        <v>2353</v>
      </c>
      <c r="U206">
        <v>2216</v>
      </c>
      <c r="W206">
        <v>1521</v>
      </c>
      <c r="X206">
        <v>2029</v>
      </c>
      <c r="Y206">
        <v>2175</v>
      </c>
      <c r="AA206" s="219">
        <v>0.2</v>
      </c>
      <c r="AB206" s="219">
        <v>0.5</v>
      </c>
      <c r="AC206" s="219">
        <v>0.8</v>
      </c>
      <c r="AD206" s="220">
        <v>2454.4000000000101</v>
      </c>
    </row>
    <row r="207" spans="2:30" x14ac:dyDescent="0.2">
      <c r="B207" s="216">
        <f t="shared" si="6"/>
        <v>204</v>
      </c>
      <c r="C207" s="216">
        <f t="shared" si="7"/>
        <v>0.98076923076923073</v>
      </c>
      <c r="D207">
        <v>2233</v>
      </c>
      <c r="E207">
        <v>2130</v>
      </c>
      <c r="F207">
        <v>2209</v>
      </c>
      <c r="G207">
        <v>2287</v>
      </c>
      <c r="H207"/>
      <c r="I207">
        <v>2102</v>
      </c>
      <c r="J207">
        <v>2102</v>
      </c>
      <c r="K207">
        <v>2370</v>
      </c>
      <c r="L207">
        <v>2226</v>
      </c>
      <c r="M207"/>
      <c r="N207">
        <v>2179</v>
      </c>
      <c r="O207">
        <v>2242</v>
      </c>
      <c r="P207">
        <v>2262</v>
      </c>
      <c r="Q207"/>
      <c r="R207">
        <v>2236</v>
      </c>
      <c r="S207">
        <v>2343</v>
      </c>
      <c r="T207">
        <v>2353</v>
      </c>
      <c r="U207">
        <v>2216</v>
      </c>
      <c r="W207">
        <v>1521</v>
      </c>
      <c r="X207">
        <v>2029</v>
      </c>
      <c r="Y207">
        <v>2175</v>
      </c>
      <c r="AA207" s="219">
        <v>0.2</v>
      </c>
      <c r="AB207" s="219">
        <v>0.5</v>
      </c>
      <c r="AC207" s="219">
        <v>0.8</v>
      </c>
      <c r="AD207" s="220">
        <v>2461.6000000000099</v>
      </c>
    </row>
    <row r="208" spans="2:30" x14ac:dyDescent="0.2">
      <c r="B208" s="216">
        <f t="shared" si="6"/>
        <v>205</v>
      </c>
      <c r="C208" s="216">
        <f t="shared" si="7"/>
        <v>0.98557692307692313</v>
      </c>
      <c r="D208">
        <v>2237</v>
      </c>
      <c r="E208">
        <v>2137</v>
      </c>
      <c r="F208">
        <v>2210</v>
      </c>
      <c r="G208">
        <v>2290</v>
      </c>
      <c r="H208"/>
      <c r="I208">
        <v>2130</v>
      </c>
      <c r="J208">
        <v>2130</v>
      </c>
      <c r="K208">
        <v>2374</v>
      </c>
      <c r="L208">
        <v>2242</v>
      </c>
      <c r="M208"/>
      <c r="N208">
        <v>2179</v>
      </c>
      <c r="O208">
        <v>2303</v>
      </c>
      <c r="P208">
        <v>2299</v>
      </c>
      <c r="Q208"/>
      <c r="R208">
        <v>2239</v>
      </c>
      <c r="S208">
        <v>2367</v>
      </c>
      <c r="T208">
        <v>2373</v>
      </c>
      <c r="U208">
        <v>2229</v>
      </c>
      <c r="W208">
        <v>1521</v>
      </c>
      <c r="X208">
        <v>2029</v>
      </c>
      <c r="Y208">
        <v>2175</v>
      </c>
      <c r="AA208" s="219">
        <v>0.2</v>
      </c>
      <c r="AB208" s="219">
        <v>0.5</v>
      </c>
      <c r="AC208" s="219">
        <v>0.8</v>
      </c>
      <c r="AD208" s="216">
        <v>2468.8000000000102</v>
      </c>
    </row>
    <row r="209" spans="2:30" x14ac:dyDescent="0.2">
      <c r="B209" s="216">
        <f t="shared" si="6"/>
        <v>206</v>
      </c>
      <c r="C209" s="216">
        <f t="shared" si="7"/>
        <v>0.99038461538461542</v>
      </c>
      <c r="D209">
        <v>2243</v>
      </c>
      <c r="E209">
        <v>2183</v>
      </c>
      <c r="F209">
        <v>2239</v>
      </c>
      <c r="G209">
        <v>2302</v>
      </c>
      <c r="H209"/>
      <c r="I209">
        <v>2136</v>
      </c>
      <c r="J209">
        <v>2142</v>
      </c>
      <c r="K209">
        <v>2430</v>
      </c>
      <c r="L209">
        <v>2290</v>
      </c>
      <c r="M209"/>
      <c r="N209">
        <v>2209</v>
      </c>
      <c r="O209">
        <v>2326</v>
      </c>
      <c r="P209">
        <v>2310</v>
      </c>
      <c r="Q209"/>
      <c r="R209">
        <v>2253</v>
      </c>
      <c r="S209">
        <v>2370</v>
      </c>
      <c r="T209">
        <v>2386</v>
      </c>
      <c r="U209">
        <v>2235</v>
      </c>
      <c r="W209">
        <v>1521</v>
      </c>
      <c r="X209">
        <v>2029</v>
      </c>
      <c r="Y209">
        <v>2175</v>
      </c>
      <c r="AA209" s="219">
        <v>0.2</v>
      </c>
      <c r="AB209" s="219">
        <v>0.5</v>
      </c>
      <c r="AC209" s="219">
        <v>0.8</v>
      </c>
      <c r="AD209" s="220">
        <v>2476.00000000001</v>
      </c>
    </row>
    <row r="210" spans="2:30" x14ac:dyDescent="0.2">
      <c r="B210" s="216">
        <f t="shared" si="6"/>
        <v>207</v>
      </c>
      <c r="C210" s="216">
        <f t="shared" si="7"/>
        <v>0.99519230769230771</v>
      </c>
      <c r="D210">
        <v>2336</v>
      </c>
      <c r="E210">
        <v>2202</v>
      </c>
      <c r="F210">
        <v>2247</v>
      </c>
      <c r="G210">
        <v>2343</v>
      </c>
      <c r="H210"/>
      <c r="I210">
        <v>2207</v>
      </c>
      <c r="J210">
        <v>2152</v>
      </c>
      <c r="K210">
        <v>2500</v>
      </c>
      <c r="L210">
        <v>2300</v>
      </c>
      <c r="M210"/>
      <c r="N210">
        <v>2272</v>
      </c>
      <c r="O210">
        <v>2369</v>
      </c>
      <c r="P210">
        <v>2319</v>
      </c>
      <c r="Q210"/>
      <c r="R210">
        <v>2276</v>
      </c>
      <c r="S210">
        <v>2456</v>
      </c>
      <c r="T210">
        <v>2393</v>
      </c>
      <c r="U210">
        <v>2250</v>
      </c>
      <c r="W210">
        <v>1521</v>
      </c>
      <c r="X210">
        <v>2029</v>
      </c>
      <c r="Y210">
        <v>2175</v>
      </c>
      <c r="AA210" s="219">
        <v>0.2</v>
      </c>
      <c r="AB210" s="219">
        <v>0.5</v>
      </c>
      <c r="AC210" s="219">
        <v>0.8</v>
      </c>
      <c r="AD210" s="220">
        <v>2483.2000000000098</v>
      </c>
    </row>
    <row r="211" spans="2:30" x14ac:dyDescent="0.2">
      <c r="B211" s="216">
        <f>B210+1</f>
        <v>208</v>
      </c>
      <c r="C211" s="216">
        <f t="shared" si="7"/>
        <v>1</v>
      </c>
      <c r="D211">
        <v>2373</v>
      </c>
      <c r="E211">
        <v>2320</v>
      </c>
      <c r="F211">
        <v>2266</v>
      </c>
      <c r="G211">
        <v>2353</v>
      </c>
      <c r="H211"/>
      <c r="I211">
        <v>2212</v>
      </c>
      <c r="J211">
        <v>2217</v>
      </c>
      <c r="K211">
        <v>2500</v>
      </c>
      <c r="L211">
        <v>2393</v>
      </c>
      <c r="M211"/>
      <c r="N211">
        <v>2300</v>
      </c>
      <c r="O211">
        <v>2416</v>
      </c>
      <c r="P211">
        <v>2326</v>
      </c>
      <c r="Q211"/>
      <c r="R211">
        <v>2323</v>
      </c>
      <c r="S211">
        <v>2500</v>
      </c>
      <c r="T211">
        <v>2406</v>
      </c>
      <c r="U211">
        <v>2353</v>
      </c>
      <c r="W211">
        <v>1521</v>
      </c>
      <c r="X211">
        <v>2029</v>
      </c>
      <c r="Y211">
        <v>2175</v>
      </c>
      <c r="AA211" s="219">
        <v>0.2</v>
      </c>
      <c r="AB211" s="219">
        <v>0.5</v>
      </c>
      <c r="AC211" s="219">
        <v>0.8</v>
      </c>
      <c r="AD211" s="220">
        <v>2500</v>
      </c>
    </row>
    <row r="213" spans="2:30" x14ac:dyDescent="0.2">
      <c r="D213" t="s">
        <v>876</v>
      </c>
      <c r="E213" t="s">
        <v>877</v>
      </c>
      <c r="F213" t="s">
        <v>878</v>
      </c>
      <c r="G213" t="s">
        <v>879</v>
      </c>
      <c r="I213" t="s">
        <v>880</v>
      </c>
      <c r="J213" t="s">
        <v>881</v>
      </c>
      <c r="K213" t="s">
        <v>882</v>
      </c>
      <c r="L213" t="s">
        <v>883</v>
      </c>
      <c r="N213" t="s">
        <v>884</v>
      </c>
      <c r="O213" t="s">
        <v>885</v>
      </c>
      <c r="P213" t="s">
        <v>886</v>
      </c>
      <c r="R213" t="s">
        <v>887</v>
      </c>
      <c r="S213" t="s">
        <v>888</v>
      </c>
      <c r="T213" t="s">
        <v>889</v>
      </c>
      <c r="U213" t="s">
        <v>890</v>
      </c>
    </row>
    <row r="214" spans="2:30" x14ac:dyDescent="0.2">
      <c r="B214" s="218" t="s">
        <v>851</v>
      </c>
      <c r="D214">
        <v>2132</v>
      </c>
      <c r="E214">
        <v>1883</v>
      </c>
      <c r="F214">
        <v>1907</v>
      </c>
      <c r="G214">
        <v>1918</v>
      </c>
      <c r="I214">
        <v>2004</v>
      </c>
      <c r="J214">
        <v>1970</v>
      </c>
      <c r="K214">
        <v>1896</v>
      </c>
      <c r="L214">
        <v>1977</v>
      </c>
      <c r="N214">
        <v>2136</v>
      </c>
      <c r="O214">
        <v>2155</v>
      </c>
      <c r="P214">
        <v>2188</v>
      </c>
      <c r="R214">
        <v>1848</v>
      </c>
      <c r="S214">
        <v>1761</v>
      </c>
      <c r="T214">
        <v>1740</v>
      </c>
      <c r="U214">
        <v>1602</v>
      </c>
    </row>
    <row r="215" spans="2:30" x14ac:dyDescent="0.2">
      <c r="B215" s="218" t="s">
        <v>852</v>
      </c>
      <c r="D215" s="216">
        <f>STDEV(D4:D211)</f>
        <v>120.86607713808665</v>
      </c>
      <c r="E215" s="216">
        <f>STDEV(E4:E211)</f>
        <v>262.00349462665781</v>
      </c>
      <c r="F215" s="216">
        <f t="shared" ref="F215:U215" si="8">STDEV(F4:F211)</f>
        <v>202.20040615755153</v>
      </c>
      <c r="G215" s="216">
        <f t="shared" si="8"/>
        <v>196.74658708108896</v>
      </c>
      <c r="I215" s="216">
        <f t="shared" si="8"/>
        <v>142.0275218375256</v>
      </c>
      <c r="J215" s="216">
        <f t="shared" si="8"/>
        <v>162.54126652079793</v>
      </c>
      <c r="K215" s="216">
        <f t="shared" si="8"/>
        <v>253.43024755408553</v>
      </c>
      <c r="L215" s="216">
        <f t="shared" si="8"/>
        <v>179.27165081608641</v>
      </c>
      <c r="N215" s="216">
        <f t="shared" si="8"/>
        <v>149.90026784833768</v>
      </c>
      <c r="O215" s="216">
        <f t="shared" si="8"/>
        <v>143.57047835703219</v>
      </c>
      <c r="P215" s="216">
        <f t="shared" si="8"/>
        <v>131.93430315620162</v>
      </c>
      <c r="R215" s="216">
        <f t="shared" si="8"/>
        <v>209.48325053728593</v>
      </c>
      <c r="S215" s="216">
        <f t="shared" si="8"/>
        <v>234.28226535269113</v>
      </c>
      <c r="T215" s="216">
        <f t="shared" si="8"/>
        <v>230.15482404748744</v>
      </c>
      <c r="U215" s="216">
        <f t="shared" si="8"/>
        <v>207.12478084977238</v>
      </c>
    </row>
  </sheetData>
  <mergeCells count="5">
    <mergeCell ref="D2:G2"/>
    <mergeCell ref="I2:L2"/>
    <mergeCell ref="N2:P2"/>
    <mergeCell ref="R2:U2"/>
    <mergeCell ref="AA2:AD2"/>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
  <sheetViews>
    <sheetView showGridLines="0" workbookViewId="0">
      <selection activeCell="C21" sqref="C21"/>
    </sheetView>
  </sheetViews>
  <sheetFormatPr baseColWidth="10" defaultColWidth="11.5" defaultRowHeight="15" x14ac:dyDescent="0.2"/>
  <cols>
    <col min="1" max="16384" width="11.5" style="216"/>
  </cols>
  <sheetData/>
  <phoneticPr fontId="37" type="noConversion"/>
  <pageMargins left="0.7" right="0.7" top="0.78740157499999996" bottom="0.78740157499999996"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
  <sheetViews>
    <sheetView showGridLines="0" workbookViewId="0">
      <selection activeCell="F25" sqref="F25"/>
    </sheetView>
  </sheetViews>
  <sheetFormatPr baseColWidth="10" defaultColWidth="11.5" defaultRowHeight="15" x14ac:dyDescent="0.2"/>
  <cols>
    <col min="1" max="16384" width="11.5" style="216"/>
  </cols>
  <sheetData/>
  <pageMargins left="0.7" right="0.7" top="0.78740157499999996" bottom="0.78740157499999996"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
  <sheetViews>
    <sheetView showGridLines="0" workbookViewId="0">
      <selection activeCell="I22" sqref="I22"/>
    </sheetView>
  </sheetViews>
  <sheetFormatPr baseColWidth="10" defaultColWidth="11.5" defaultRowHeight="15" x14ac:dyDescent="0.2"/>
  <cols>
    <col min="1" max="16384" width="11.5" style="216"/>
  </cols>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
  <sheetViews>
    <sheetView showGridLines="0" workbookViewId="0">
      <selection activeCell="D32" sqref="D32"/>
    </sheetView>
  </sheetViews>
  <sheetFormatPr baseColWidth="10" defaultColWidth="11.5" defaultRowHeight="15" x14ac:dyDescent="0.2"/>
  <cols>
    <col min="1" max="16384" width="11.5" style="216"/>
  </cols>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I40"/>
  <sheetViews>
    <sheetView workbookViewId="0">
      <selection activeCell="B1" sqref="B1"/>
    </sheetView>
  </sheetViews>
  <sheetFormatPr baseColWidth="10" defaultColWidth="8.83203125" defaultRowHeight="15" x14ac:dyDescent="0.2"/>
  <cols>
    <col min="1" max="1" width="3.1640625" style="84" customWidth="1"/>
    <col min="2" max="2" width="20.83203125" style="84" customWidth="1"/>
    <col min="3" max="3" width="8.83203125" style="84"/>
    <col min="4" max="4" width="10.6640625" style="84" customWidth="1"/>
    <col min="5" max="8" width="7.1640625" style="84" customWidth="1"/>
    <col min="9" max="9" width="8.83203125" style="84"/>
  </cols>
  <sheetData>
    <row r="1" spans="1:9" x14ac:dyDescent="0.2">
      <c r="A1" s="190" t="s">
        <v>804</v>
      </c>
      <c r="B1" s="190" t="s">
        <v>805</v>
      </c>
      <c r="C1" s="191" t="s">
        <v>808</v>
      </c>
      <c r="D1" s="200" t="s">
        <v>806</v>
      </c>
      <c r="E1" s="200" t="s">
        <v>811</v>
      </c>
      <c r="F1" s="200" t="s">
        <v>812</v>
      </c>
      <c r="G1" s="200" t="s">
        <v>813</v>
      </c>
      <c r="H1" s="200" t="s">
        <v>814</v>
      </c>
      <c r="I1" s="192"/>
    </row>
    <row r="2" spans="1:9" x14ac:dyDescent="0.2">
      <c r="A2"/>
      <c r="B2" t="s">
        <v>891</v>
      </c>
      <c r="C2" s="193">
        <f t="shared" ref="C2:C19" si="0">(ROWS($A$2:$A$19)-ROW()+ROW($A$2:$A$19)-0.5)/ROWS($A$2:$A$19)</f>
        <v>0.97222222222222221</v>
      </c>
      <c r="D2" s="197">
        <v>1520.6796875</v>
      </c>
      <c r="I2" s="194"/>
    </row>
    <row r="3" spans="1:9" x14ac:dyDescent="0.2">
      <c r="A3"/>
      <c r="B3" t="s">
        <v>6</v>
      </c>
      <c r="C3" s="193">
        <f t="shared" si="0"/>
        <v>0.91666666666666663</v>
      </c>
      <c r="D3" s="197">
        <v>1601.8990478515625</v>
      </c>
      <c r="E3">
        <v>1729.056</v>
      </c>
      <c r="F3">
        <v>1687.364</v>
      </c>
      <c r="G3">
        <v>1700.5730000000001</v>
      </c>
      <c r="H3">
        <v>1716.8040000000001</v>
      </c>
      <c r="I3" s="194"/>
    </row>
    <row r="4" spans="1:9" x14ac:dyDescent="0.2">
      <c r="A4"/>
      <c r="B4" t="s">
        <v>900</v>
      </c>
      <c r="C4" s="193">
        <f t="shared" si="0"/>
        <v>0.86111111111111116</v>
      </c>
      <c r="D4" s="197">
        <v>1739.5361328125</v>
      </c>
      <c r="E4">
        <v>1777.296</v>
      </c>
      <c r="F4">
        <v>1743.1510000000001</v>
      </c>
      <c r="G4">
        <v>1766.2</v>
      </c>
      <c r="H4">
        <v>1727.848</v>
      </c>
      <c r="I4" s="194"/>
    </row>
    <row r="5" spans="1:9" x14ac:dyDescent="0.2">
      <c r="A5"/>
      <c r="B5" t="s">
        <v>15</v>
      </c>
      <c r="C5" s="193">
        <f t="shared" si="0"/>
        <v>0.80555555555555558</v>
      </c>
      <c r="D5" s="197">
        <v>1761.2928466796875</v>
      </c>
      <c r="E5">
        <v>1830.8330000000001</v>
      </c>
      <c r="F5">
        <v>1909.242</v>
      </c>
      <c r="G5">
        <v>1846.027</v>
      </c>
      <c r="H5">
        <v>1835.9570000000001</v>
      </c>
      <c r="I5" s="194"/>
    </row>
    <row r="6" spans="1:9" x14ac:dyDescent="0.2">
      <c r="A6"/>
      <c r="B6" t="s">
        <v>899</v>
      </c>
      <c r="C6" s="193">
        <f t="shared" si="0"/>
        <v>0.75</v>
      </c>
      <c r="D6" s="197">
        <v>1848.364990234375</v>
      </c>
      <c r="E6">
        <v>1899.241</v>
      </c>
      <c r="F6">
        <v>1881.8489999999999</v>
      </c>
      <c r="G6">
        <v>1854.787</v>
      </c>
      <c r="H6">
        <v>1885.1959999999999</v>
      </c>
      <c r="I6" s="194"/>
    </row>
    <row r="7" spans="1:9" x14ac:dyDescent="0.2">
      <c r="A7"/>
      <c r="B7" t="s">
        <v>675</v>
      </c>
      <c r="C7" s="193">
        <f t="shared" si="0"/>
        <v>0.69444444444444442</v>
      </c>
      <c r="D7" s="197">
        <v>1883.193359375</v>
      </c>
      <c r="E7">
        <v>1684.519</v>
      </c>
      <c r="F7">
        <v>1612.03</v>
      </c>
      <c r="G7">
        <v>1635.6669999999999</v>
      </c>
      <c r="H7">
        <v>1693.6959999999999</v>
      </c>
      <c r="I7" s="194"/>
    </row>
    <row r="8" spans="1:9" x14ac:dyDescent="0.2">
      <c r="A8"/>
      <c r="B8" t="s">
        <v>897</v>
      </c>
      <c r="C8" s="193">
        <f t="shared" si="0"/>
        <v>0.63888888888888884</v>
      </c>
      <c r="D8" s="197">
        <v>1895.5386962890625</v>
      </c>
      <c r="E8">
        <v>1983.3150000000001</v>
      </c>
      <c r="F8">
        <v>2013.1510000000001</v>
      </c>
      <c r="G8">
        <v>1959.7070000000001</v>
      </c>
      <c r="H8">
        <v>1925.239</v>
      </c>
      <c r="I8" s="194"/>
    </row>
    <row r="9" spans="1:9" x14ac:dyDescent="0.2">
      <c r="A9"/>
      <c r="B9" t="s">
        <v>895</v>
      </c>
      <c r="C9" s="193">
        <f t="shared" si="0"/>
        <v>0.58333333333333337</v>
      </c>
      <c r="D9" s="197">
        <v>1906.99462890625</v>
      </c>
      <c r="E9">
        <v>1864.1669999999999</v>
      </c>
      <c r="F9">
        <v>1901.6969999999999</v>
      </c>
      <c r="G9">
        <v>1891.96</v>
      </c>
      <c r="H9">
        <v>1925.0219999999999</v>
      </c>
      <c r="I9" s="194"/>
    </row>
    <row r="10" spans="1:9" x14ac:dyDescent="0.2">
      <c r="A10"/>
      <c r="B10" t="s">
        <v>896</v>
      </c>
      <c r="C10" s="193">
        <f t="shared" si="0"/>
        <v>0.52777777777777779</v>
      </c>
      <c r="D10" s="197">
        <v>1918.415283203125</v>
      </c>
      <c r="E10">
        <v>1999.796</v>
      </c>
      <c r="F10">
        <v>2016.3330000000001</v>
      </c>
      <c r="G10">
        <v>1984.56</v>
      </c>
      <c r="H10">
        <v>1998.261</v>
      </c>
      <c r="I10" s="194"/>
    </row>
    <row r="11" spans="1:9" x14ac:dyDescent="0.2">
      <c r="A11"/>
      <c r="B11" t="s">
        <v>839</v>
      </c>
      <c r="C11" s="193">
        <f t="shared" si="0"/>
        <v>0.47222222222222221</v>
      </c>
      <c r="D11" s="197">
        <v>1970.365478515625</v>
      </c>
      <c r="E11">
        <v>1885.796</v>
      </c>
      <c r="F11">
        <v>1908.6969999999999</v>
      </c>
      <c r="G11">
        <v>1905.5070000000001</v>
      </c>
      <c r="H11">
        <v>1879.7170000000001</v>
      </c>
      <c r="I11" s="194"/>
    </row>
    <row r="12" spans="1:9" x14ac:dyDescent="0.2">
      <c r="A12"/>
      <c r="B12" t="s">
        <v>898</v>
      </c>
      <c r="C12" s="193">
        <f t="shared" si="0"/>
        <v>0.41666666666666669</v>
      </c>
      <c r="D12" s="197">
        <v>1977.1444091796875</v>
      </c>
      <c r="E12">
        <v>1953.1110000000001</v>
      </c>
      <c r="F12">
        <v>2036.8789999999999</v>
      </c>
      <c r="G12">
        <v>1929.413</v>
      </c>
      <c r="H12">
        <v>1878.63</v>
      </c>
      <c r="I12" s="194"/>
    </row>
    <row r="13" spans="1:9" x14ac:dyDescent="0.2">
      <c r="A13"/>
      <c r="B13" t="s">
        <v>838</v>
      </c>
      <c r="C13" s="193">
        <f t="shared" si="0"/>
        <v>0.3611111111111111</v>
      </c>
      <c r="D13" s="197">
        <v>2004.2059326171875</v>
      </c>
      <c r="E13">
        <v>1927.963</v>
      </c>
      <c r="F13">
        <v>1959.606</v>
      </c>
      <c r="G13">
        <v>1939.6</v>
      </c>
      <c r="H13">
        <v>1907.5650000000001</v>
      </c>
      <c r="I13" s="194"/>
    </row>
    <row r="14" spans="1:9" x14ac:dyDescent="0.2">
      <c r="A14"/>
      <c r="B14" t="s">
        <v>892</v>
      </c>
      <c r="C14" s="193">
        <f t="shared" si="0"/>
        <v>0.30555555555555558</v>
      </c>
      <c r="D14" s="197">
        <v>2029.4444580078125</v>
      </c>
      <c r="E14"/>
      <c r="F14"/>
      <c r="G14"/>
      <c r="H14"/>
      <c r="I14" s="194"/>
    </row>
    <row r="15" spans="1:9" x14ac:dyDescent="0.2">
      <c r="A15"/>
      <c r="B15" t="s">
        <v>894</v>
      </c>
      <c r="C15" s="193">
        <f t="shared" si="0"/>
        <v>0.25</v>
      </c>
      <c r="D15" s="197">
        <v>2131.857666015625</v>
      </c>
      <c r="E15">
        <v>2068.9070000000002</v>
      </c>
      <c r="F15">
        <v>2076.3029999999999</v>
      </c>
      <c r="G15">
        <v>2054.3200000000002</v>
      </c>
      <c r="H15">
        <v>2031.326</v>
      </c>
      <c r="I15" s="194"/>
    </row>
    <row r="16" spans="1:9" x14ac:dyDescent="0.2">
      <c r="A16"/>
      <c r="B16" t="s">
        <v>842</v>
      </c>
      <c r="C16" s="193">
        <f t="shared" si="0"/>
        <v>0.19444444444444445</v>
      </c>
      <c r="D16" s="197">
        <v>2135.952392578125</v>
      </c>
      <c r="E16">
        <v>1963.6479999999999</v>
      </c>
      <c r="F16">
        <v>1967.8789999999999</v>
      </c>
      <c r="G16">
        <v>1927.0930000000001</v>
      </c>
      <c r="H16">
        <v>1982.413</v>
      </c>
      <c r="I16" s="194"/>
    </row>
    <row r="17" spans="1:9" x14ac:dyDescent="0.2">
      <c r="A17"/>
      <c r="B17" t="s">
        <v>843</v>
      </c>
      <c r="C17" s="193">
        <f t="shared" si="0"/>
        <v>0.1388888888888889</v>
      </c>
      <c r="D17" s="197">
        <v>2154.7724609375</v>
      </c>
      <c r="E17">
        <v>2012.1110000000001</v>
      </c>
      <c r="F17">
        <v>1989.7270000000001</v>
      </c>
      <c r="G17">
        <v>1985.1469999999999</v>
      </c>
      <c r="H17">
        <v>2028.5429999999999</v>
      </c>
      <c r="I17" s="194"/>
    </row>
    <row r="18" spans="1:9" x14ac:dyDescent="0.2">
      <c r="A18"/>
      <c r="B18" t="s">
        <v>893</v>
      </c>
      <c r="C18" s="193">
        <f t="shared" si="0"/>
        <v>8.3333333333333329E-2</v>
      </c>
      <c r="D18" s="197">
        <v>2174.618408203125</v>
      </c>
      <c r="E18"/>
      <c r="F18"/>
      <c r="G18"/>
      <c r="H18"/>
      <c r="I18" s="194"/>
    </row>
    <row r="19" spans="1:9" x14ac:dyDescent="0.2">
      <c r="A19"/>
      <c r="B19" t="s">
        <v>844</v>
      </c>
      <c r="C19" s="193">
        <f t="shared" si="0"/>
        <v>2.7777777777777776E-2</v>
      </c>
      <c r="D19" s="197">
        <v>2187.857177734375</v>
      </c>
      <c r="E19">
        <v>2015.019</v>
      </c>
      <c r="F19">
        <v>2009.394</v>
      </c>
      <c r="G19">
        <v>1991.4269999999999</v>
      </c>
      <c r="H19">
        <v>2022.2170000000001</v>
      </c>
      <c r="I19" s="194"/>
    </row>
    <row r="20" spans="1:9" x14ac:dyDescent="0.2">
      <c r="I20" s="194"/>
    </row>
    <row r="21" spans="1:9" x14ac:dyDescent="0.2">
      <c r="A21" s="195"/>
      <c r="B21" s="195"/>
      <c r="C21" s="195"/>
      <c r="D21" s="195"/>
      <c r="E21" s="195"/>
      <c r="F21" s="195"/>
      <c r="G21" s="195"/>
      <c r="H21" s="195"/>
      <c r="I21" s="194"/>
    </row>
    <row r="22" spans="1:9" x14ac:dyDescent="0.2">
      <c r="I22" s="194"/>
    </row>
    <row r="23" spans="1:9" x14ac:dyDescent="0.2">
      <c r="B23"/>
      <c r="I23" s="194"/>
    </row>
    <row r="24" spans="1:9" x14ac:dyDescent="0.2">
      <c r="B24"/>
      <c r="I24" s="194"/>
    </row>
    <row r="25" spans="1:9" x14ac:dyDescent="0.2">
      <c r="B25"/>
      <c r="D25"/>
      <c r="I25" s="194"/>
    </row>
    <row r="26" spans="1:9" x14ac:dyDescent="0.2">
      <c r="B26"/>
      <c r="E26" s="199"/>
      <c r="F26" s="199"/>
      <c r="G26" s="199"/>
      <c r="H26" s="199"/>
      <c r="I26" s="194"/>
    </row>
    <row r="27" spans="1:9" x14ac:dyDescent="0.2">
      <c r="B27"/>
      <c r="D27" s="199"/>
      <c r="E27" s="199"/>
      <c r="F27" s="199"/>
      <c r="G27" s="199"/>
      <c r="H27" s="199"/>
      <c r="I27" s="194"/>
    </row>
    <row r="28" spans="1:9" x14ac:dyDescent="0.2">
      <c r="B28"/>
      <c r="D28" s="199"/>
      <c r="E28" s="199"/>
      <c r="F28" s="199"/>
      <c r="G28" s="199"/>
      <c r="H28" s="199"/>
      <c r="I28" s="194"/>
    </row>
    <row r="29" spans="1:9" x14ac:dyDescent="0.2">
      <c r="B29"/>
      <c r="D29" s="199"/>
      <c r="E29" s="199"/>
      <c r="F29" s="199"/>
      <c r="G29" s="199"/>
      <c r="H29" s="199"/>
      <c r="I29" s="194"/>
    </row>
    <row r="30" spans="1:9" x14ac:dyDescent="0.2">
      <c r="B30"/>
      <c r="D30" s="199"/>
      <c r="E30" s="199"/>
      <c r="F30" s="199"/>
      <c r="G30" s="199"/>
      <c r="H30" s="199"/>
      <c r="I30" s="194"/>
    </row>
    <row r="31" spans="1:9" x14ac:dyDescent="0.2">
      <c r="B31"/>
      <c r="D31" s="199"/>
      <c r="E31" s="199"/>
      <c r="F31" s="199"/>
      <c r="G31" s="199"/>
      <c r="H31" s="199"/>
      <c r="I31" s="194"/>
    </row>
    <row r="32" spans="1:9" x14ac:dyDescent="0.2">
      <c r="B32"/>
      <c r="D32" s="199"/>
      <c r="E32" s="199"/>
      <c r="F32" s="199"/>
      <c r="G32" s="199"/>
      <c r="H32" s="199"/>
      <c r="I32" s="194"/>
    </row>
    <row r="33" spans="2:9" x14ac:dyDescent="0.2">
      <c r="B33"/>
      <c r="D33" s="199"/>
      <c r="E33" s="199"/>
      <c r="F33" s="199"/>
      <c r="G33" s="199"/>
      <c r="H33" s="199"/>
      <c r="I33" s="194"/>
    </row>
    <row r="34" spans="2:9" x14ac:dyDescent="0.2">
      <c r="B34"/>
      <c r="D34" s="199"/>
      <c r="E34" s="199"/>
      <c r="F34" s="199"/>
      <c r="G34" s="199"/>
      <c r="H34" s="199"/>
      <c r="I34" s="194"/>
    </row>
    <row r="35" spans="2:9" x14ac:dyDescent="0.2">
      <c r="B35"/>
      <c r="D35" s="199"/>
      <c r="E35" s="199"/>
      <c r="F35" s="199"/>
      <c r="G35" s="199"/>
      <c r="H35" s="199"/>
    </row>
    <row r="36" spans="2:9" x14ac:dyDescent="0.2">
      <c r="B36"/>
      <c r="D36" s="199"/>
      <c r="E36" s="199"/>
      <c r="F36" s="199"/>
      <c r="G36" s="199"/>
      <c r="H36" s="199"/>
    </row>
    <row r="37" spans="2:9" x14ac:dyDescent="0.2">
      <c r="B37"/>
      <c r="D37" s="199"/>
      <c r="E37" s="199"/>
      <c r="F37" s="199"/>
      <c r="G37" s="199"/>
      <c r="H37" s="199"/>
    </row>
    <row r="38" spans="2:9" x14ac:dyDescent="0.2">
      <c r="B38"/>
      <c r="D38" s="199"/>
      <c r="E38" s="199"/>
      <c r="F38" s="199"/>
      <c r="G38" s="199"/>
      <c r="H38" s="199"/>
    </row>
    <row r="39" spans="2:9" x14ac:dyDescent="0.2">
      <c r="B39"/>
      <c r="D39" s="199"/>
      <c r="E39" s="199"/>
      <c r="F39" s="199"/>
      <c r="G39" s="199"/>
      <c r="H39" s="199"/>
    </row>
    <row r="40" spans="2:9" ht="8.5" customHeight="1" x14ac:dyDescent="0.2">
      <c r="B40"/>
      <c r="D40" s="199"/>
      <c r="E40" s="199"/>
      <c r="F40" s="199"/>
      <c r="G40" s="199"/>
      <c r="H40" s="199"/>
    </row>
  </sheetData>
  <phoneticPr fontId="37" type="noConversion"/>
  <pageMargins left="0.2" right="0.2" top="0.25" bottom="0.25" header="0.05" footer="0.05"/>
  <pageSetup scale="95" orientation="landscape" horizontalDpi="1200" verticalDpi="12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E45"/>
  <sheetViews>
    <sheetView zoomScale="98" workbookViewId="0">
      <selection sqref="A1:E1"/>
    </sheetView>
  </sheetViews>
  <sheetFormatPr baseColWidth="10" defaultColWidth="8.6640625" defaultRowHeight="13" x14ac:dyDescent="0.15"/>
  <cols>
    <col min="1" max="1" width="1.5" style="6" customWidth="1"/>
    <col min="2" max="2" width="17.5" style="6" customWidth="1"/>
    <col min="3" max="3" width="11.5" style="6" customWidth="1"/>
    <col min="4" max="4" width="11.6640625" style="6" customWidth="1"/>
    <col min="5" max="5" width="14.6640625" style="6" customWidth="1"/>
    <col min="6" max="16384" width="8.6640625" style="6"/>
  </cols>
  <sheetData>
    <row r="1" spans="1:5" ht="16" x14ac:dyDescent="0.2">
      <c r="A1" s="322" t="s">
        <v>195</v>
      </c>
      <c r="B1" s="322"/>
      <c r="C1" s="322"/>
      <c r="D1" s="322"/>
      <c r="E1" s="322"/>
    </row>
    <row r="2" spans="1:5" ht="4.5" customHeight="1" thickBot="1" x14ac:dyDescent="0.2">
      <c r="A2" s="221"/>
      <c r="B2" s="221"/>
      <c r="C2" s="221"/>
      <c r="D2" s="221"/>
      <c r="E2" s="221"/>
    </row>
    <row r="3" spans="1:5" ht="6.75" customHeight="1" thickTop="1" x14ac:dyDescent="0.15">
      <c r="A3" s="222"/>
      <c r="B3" s="222"/>
      <c r="C3" s="222"/>
      <c r="D3" s="222"/>
      <c r="E3" s="222"/>
    </row>
    <row r="4" spans="1:5" ht="42.75" customHeight="1" x14ac:dyDescent="0.15">
      <c r="A4" s="223"/>
      <c r="B4" s="223"/>
      <c r="C4" s="224" t="s">
        <v>18</v>
      </c>
      <c r="D4" s="224" t="s">
        <v>19</v>
      </c>
      <c r="E4" s="224" t="s">
        <v>20</v>
      </c>
    </row>
    <row r="5" spans="1:5" s="3" customFormat="1" ht="17.25" customHeight="1" x14ac:dyDescent="0.15">
      <c r="A5" s="225"/>
      <c r="B5" s="225"/>
      <c r="C5" s="226" t="s">
        <v>57</v>
      </c>
      <c r="D5" s="226" t="s">
        <v>58</v>
      </c>
      <c r="E5" s="226" t="s">
        <v>59</v>
      </c>
    </row>
    <row r="6" spans="1:5" ht="4.5" customHeight="1" x14ac:dyDescent="0.15">
      <c r="A6" s="227"/>
      <c r="B6" s="227"/>
      <c r="C6" s="228"/>
      <c r="D6" s="228"/>
      <c r="E6" s="228"/>
    </row>
    <row r="7" spans="1:5" s="10" customFormat="1" ht="14.25" customHeight="1" x14ac:dyDescent="0.15">
      <c r="A7" s="229" t="s">
        <v>21</v>
      </c>
      <c r="B7" s="230"/>
      <c r="C7" s="231"/>
      <c r="D7" s="231"/>
      <c r="E7" s="231"/>
    </row>
    <row r="8" spans="1:5" s="10" customFormat="1" ht="4.5" customHeight="1" x14ac:dyDescent="0.15">
      <c r="A8" s="232"/>
      <c r="B8" s="232"/>
      <c r="C8" s="231"/>
      <c r="D8" s="231"/>
      <c r="E8" s="231"/>
    </row>
    <row r="9" spans="1:5" s="10" customFormat="1" ht="14.25" customHeight="1" x14ac:dyDescent="0.15">
      <c r="A9" s="230"/>
      <c r="B9" s="230" t="s">
        <v>22</v>
      </c>
      <c r="C9" s="231">
        <v>0.24</v>
      </c>
      <c r="D9" s="231">
        <v>0.31</v>
      </c>
      <c r="E9" s="231">
        <v>0.32</v>
      </c>
    </row>
    <row r="10" spans="1:5" ht="4.5" customHeight="1" x14ac:dyDescent="0.15">
      <c r="A10" s="232"/>
      <c r="B10" s="232"/>
      <c r="C10" s="231"/>
      <c r="D10" s="231"/>
      <c r="E10" s="231"/>
    </row>
    <row r="11" spans="1:5" s="10" customFormat="1" ht="14.25" customHeight="1" x14ac:dyDescent="0.15">
      <c r="A11" s="233"/>
      <c r="B11" s="233" t="s">
        <v>23</v>
      </c>
      <c r="C11" s="231">
        <v>0.06</v>
      </c>
      <c r="D11" s="231">
        <v>0.05</v>
      </c>
      <c r="E11" s="231">
        <v>0.04</v>
      </c>
    </row>
    <row r="12" spans="1:5" ht="4.5" customHeight="1" x14ac:dyDescent="0.15">
      <c r="A12" s="232"/>
      <c r="B12" s="232"/>
      <c r="C12" s="231"/>
      <c r="D12" s="231"/>
      <c r="E12" s="231"/>
    </row>
    <row r="13" spans="1:5" s="13" customFormat="1" ht="14.25" customHeight="1" x14ac:dyDescent="0.15">
      <c r="A13" s="230"/>
      <c r="B13" s="230" t="s">
        <v>24</v>
      </c>
      <c r="C13" s="231">
        <v>0.17</v>
      </c>
      <c r="D13" s="231">
        <v>0.19</v>
      </c>
      <c r="E13" s="231">
        <v>0.19</v>
      </c>
    </row>
    <row r="14" spans="1:5" ht="4.5" customHeight="1" x14ac:dyDescent="0.15">
      <c r="A14" s="232"/>
      <c r="B14" s="232"/>
      <c r="C14" s="231"/>
      <c r="D14" s="231"/>
      <c r="E14" s="231"/>
    </row>
    <row r="15" spans="1:5" s="10" customFormat="1" ht="14.25" customHeight="1" x14ac:dyDescent="0.15">
      <c r="A15" s="234"/>
      <c r="B15" s="234" t="s">
        <v>25</v>
      </c>
      <c r="C15" s="231">
        <v>0.09</v>
      </c>
      <c r="D15" s="231">
        <v>7.0000000000000007E-2</v>
      </c>
      <c r="E15" s="231">
        <v>7.0000000000000007E-2</v>
      </c>
    </row>
    <row r="16" spans="1:5" ht="4.5" customHeight="1" x14ac:dyDescent="0.15">
      <c r="A16" s="232"/>
      <c r="B16" s="232"/>
      <c r="C16" s="231"/>
      <c r="D16" s="231"/>
      <c r="E16" s="231"/>
    </row>
    <row r="17" spans="1:5" s="14" customFormat="1" ht="14.25" customHeight="1" x14ac:dyDescent="0.15">
      <c r="A17" s="232"/>
      <c r="B17" s="232" t="s">
        <v>26</v>
      </c>
      <c r="C17" s="231">
        <v>0.17</v>
      </c>
      <c r="D17" s="231">
        <v>0.15</v>
      </c>
      <c r="E17" s="231">
        <v>0.16</v>
      </c>
    </row>
    <row r="18" spans="1:5" ht="4.5" customHeight="1" x14ac:dyDescent="0.15">
      <c r="A18" s="232"/>
      <c r="B18" s="232"/>
      <c r="C18" s="231"/>
      <c r="D18" s="231"/>
      <c r="E18" s="231"/>
    </row>
    <row r="19" spans="1:5" ht="14.25" customHeight="1" x14ac:dyDescent="0.15">
      <c r="A19" s="230"/>
      <c r="B19" s="230" t="s">
        <v>27</v>
      </c>
      <c r="C19" s="231">
        <v>0.17</v>
      </c>
      <c r="D19" s="231">
        <v>0.12</v>
      </c>
      <c r="E19" s="231">
        <v>0.12</v>
      </c>
    </row>
    <row r="20" spans="1:5" ht="4.5" customHeight="1" x14ac:dyDescent="0.15">
      <c r="A20" s="230"/>
      <c r="B20" s="230"/>
      <c r="C20" s="231"/>
      <c r="D20" s="231"/>
      <c r="E20" s="231"/>
    </row>
    <row r="21" spans="1:5" s="10" customFormat="1" ht="14.25" customHeight="1" x14ac:dyDescent="0.15">
      <c r="A21" s="230"/>
      <c r="B21" s="230" t="s">
        <v>28</v>
      </c>
      <c r="C21" s="231">
        <v>0.08</v>
      </c>
      <c r="D21" s="231">
        <v>0.1</v>
      </c>
      <c r="E21" s="231">
        <v>0.1</v>
      </c>
    </row>
    <row r="22" spans="1:5" s="10" customFormat="1" ht="4.5" customHeight="1" x14ac:dyDescent="0.15">
      <c r="A22" s="230"/>
      <c r="B22" s="230"/>
      <c r="C22" s="231"/>
      <c r="D22" s="231"/>
      <c r="E22" s="231"/>
    </row>
    <row r="23" spans="1:5" s="10" customFormat="1" ht="14.25" customHeight="1" x14ac:dyDescent="0.15">
      <c r="A23" s="229" t="s">
        <v>29</v>
      </c>
      <c r="B23" s="230"/>
      <c r="C23" s="231"/>
      <c r="D23" s="231"/>
      <c r="E23" s="231"/>
    </row>
    <row r="24" spans="1:5" ht="4.5" customHeight="1" x14ac:dyDescent="0.15">
      <c r="A24" s="232"/>
      <c r="B24" s="232"/>
      <c r="C24" s="231"/>
      <c r="D24" s="231"/>
      <c r="E24" s="231"/>
    </row>
    <row r="25" spans="1:5" s="13" customFormat="1" ht="14.25" customHeight="1" x14ac:dyDescent="0.15">
      <c r="A25" s="233"/>
      <c r="B25" s="233" t="s">
        <v>30</v>
      </c>
      <c r="C25" s="231">
        <v>0.26</v>
      </c>
      <c r="D25" s="231">
        <v>0.36</v>
      </c>
      <c r="E25" s="231">
        <v>0.36</v>
      </c>
    </row>
    <row r="26" spans="1:5" ht="4.5" customHeight="1" x14ac:dyDescent="0.15">
      <c r="A26" s="232"/>
      <c r="B26" s="232"/>
      <c r="C26" s="231"/>
      <c r="D26" s="231"/>
      <c r="E26" s="231"/>
    </row>
    <row r="27" spans="1:5" s="10" customFormat="1" ht="14.25" customHeight="1" x14ac:dyDescent="0.15">
      <c r="A27" s="230"/>
      <c r="B27" s="230" t="s">
        <v>31</v>
      </c>
      <c r="C27" s="231">
        <v>0.15</v>
      </c>
      <c r="D27" s="231">
        <v>0.15</v>
      </c>
      <c r="E27" s="231">
        <v>0.15</v>
      </c>
    </row>
    <row r="28" spans="1:5" ht="4.5" customHeight="1" x14ac:dyDescent="0.15">
      <c r="A28" s="232"/>
      <c r="B28" s="232"/>
      <c r="C28" s="231"/>
      <c r="D28" s="231"/>
      <c r="E28" s="231"/>
    </row>
    <row r="29" spans="1:5" s="14" customFormat="1" ht="14.25" customHeight="1" x14ac:dyDescent="0.15">
      <c r="A29" s="234"/>
      <c r="B29" s="234" t="s">
        <v>32</v>
      </c>
      <c r="C29" s="231">
        <v>0.55000000000000004</v>
      </c>
      <c r="D29" s="231">
        <v>0.45</v>
      </c>
      <c r="E29" s="231">
        <v>0.45</v>
      </c>
    </row>
    <row r="30" spans="1:5" ht="4.5" customHeight="1" x14ac:dyDescent="0.15">
      <c r="A30" s="232"/>
      <c r="B30" s="232"/>
      <c r="C30" s="231"/>
      <c r="D30" s="231"/>
      <c r="E30" s="231"/>
    </row>
    <row r="31" spans="1:5" ht="14.25" customHeight="1" x14ac:dyDescent="0.15">
      <c r="A31" s="232"/>
      <c r="B31" s="232" t="s">
        <v>33</v>
      </c>
      <c r="C31" s="231">
        <v>0.04</v>
      </c>
      <c r="D31" s="231">
        <v>0.04</v>
      </c>
      <c r="E31" s="231">
        <v>0.04</v>
      </c>
    </row>
    <row r="32" spans="1:5" ht="4.5" customHeight="1" x14ac:dyDescent="0.15">
      <c r="A32" s="232"/>
      <c r="B32" s="232"/>
      <c r="C32" s="231"/>
      <c r="D32" s="231"/>
      <c r="E32" s="231"/>
    </row>
    <row r="33" spans="1:5" s="10" customFormat="1" ht="14.25" customHeight="1" x14ac:dyDescent="0.15">
      <c r="A33" s="235" t="s">
        <v>34</v>
      </c>
      <c r="B33" s="230"/>
      <c r="C33" s="236"/>
      <c r="D33" s="236"/>
      <c r="E33" s="236">
        <v>17</v>
      </c>
    </row>
    <row r="34" spans="1:5" s="10" customFormat="1" ht="4.5" customHeight="1" x14ac:dyDescent="0.15">
      <c r="A34" s="230"/>
      <c r="B34" s="230"/>
      <c r="C34" s="231"/>
      <c r="D34" s="231"/>
      <c r="E34" s="231"/>
    </row>
    <row r="35" spans="1:5" s="10" customFormat="1" ht="14.25" customHeight="1" x14ac:dyDescent="0.15">
      <c r="A35" s="229" t="s">
        <v>35</v>
      </c>
      <c r="B35" s="230"/>
      <c r="C35" s="231"/>
      <c r="D35" s="231"/>
      <c r="E35" s="231">
        <v>0.44</v>
      </c>
    </row>
    <row r="36" spans="1:5" ht="4.5" customHeight="1" x14ac:dyDescent="0.15">
      <c r="A36" s="237"/>
      <c r="B36" s="232"/>
      <c r="C36" s="231"/>
      <c r="D36" s="231"/>
      <c r="E36" s="231"/>
    </row>
    <row r="37" spans="1:5" s="13" customFormat="1" ht="14.25" customHeight="1" x14ac:dyDescent="0.15">
      <c r="A37" s="229" t="s">
        <v>36</v>
      </c>
      <c r="B37" s="233"/>
      <c r="C37" s="231"/>
      <c r="D37" s="231"/>
      <c r="E37" s="231">
        <v>0.22</v>
      </c>
    </row>
    <row r="38" spans="1:5" ht="4.5" customHeight="1" x14ac:dyDescent="0.15">
      <c r="A38" s="232"/>
      <c r="B38" s="232"/>
      <c r="C38" s="231"/>
      <c r="D38" s="231"/>
      <c r="E38" s="231"/>
    </row>
    <row r="39" spans="1:5" s="13" customFormat="1" ht="14.25" customHeight="1" x14ac:dyDescent="0.15">
      <c r="A39" s="235" t="s">
        <v>37</v>
      </c>
      <c r="B39" s="233"/>
      <c r="C39" s="231"/>
      <c r="D39" s="231"/>
      <c r="E39" s="231">
        <v>0.98</v>
      </c>
    </row>
    <row r="40" spans="1:5" ht="4.5" customHeight="1" x14ac:dyDescent="0.15">
      <c r="A40" s="232"/>
      <c r="B40" s="232"/>
      <c r="C40" s="231"/>
      <c r="D40" s="231"/>
      <c r="E40" s="231"/>
    </row>
    <row r="41" spans="1:5" s="13" customFormat="1" ht="14.25" customHeight="1" x14ac:dyDescent="0.15">
      <c r="A41" s="235" t="s">
        <v>38</v>
      </c>
      <c r="B41" s="233"/>
      <c r="C41" s="231"/>
      <c r="D41" s="231"/>
      <c r="E41" s="231">
        <v>0.51</v>
      </c>
    </row>
    <row r="42" spans="1:5" ht="4.5" customHeight="1" x14ac:dyDescent="0.15">
      <c r="A42" s="232"/>
      <c r="B42" s="232"/>
      <c r="C42" s="231"/>
      <c r="D42" s="231"/>
      <c r="E42" s="231"/>
    </row>
    <row r="43" spans="1:5" s="10" customFormat="1" ht="14.25" customHeight="1" x14ac:dyDescent="0.15">
      <c r="A43" s="238" t="s">
        <v>39</v>
      </c>
      <c r="B43" s="239"/>
      <c r="C43" s="240">
        <v>312</v>
      </c>
      <c r="D43" s="240">
        <v>213</v>
      </c>
      <c r="E43" s="240">
        <v>208</v>
      </c>
    </row>
    <row r="44" spans="1:5" ht="3" customHeight="1" x14ac:dyDescent="0.15">
      <c r="A44" s="232"/>
      <c r="B44" s="232"/>
      <c r="C44" s="241"/>
      <c r="D44" s="241"/>
      <c r="E44" s="241"/>
    </row>
    <row r="45" spans="1:5" ht="33" customHeight="1" x14ac:dyDescent="0.15">
      <c r="A45" s="323" t="s">
        <v>82</v>
      </c>
      <c r="B45" s="323"/>
      <c r="C45" s="323"/>
      <c r="D45" s="323"/>
      <c r="E45" s="323"/>
    </row>
  </sheetData>
  <mergeCells count="2">
    <mergeCell ref="A1:E1"/>
    <mergeCell ref="A45:E45"/>
  </mergeCells>
  <phoneticPr fontId="37" type="noConversion"/>
  <printOptions horizontalCentered="1" verticalCentered="1"/>
  <pageMargins left="0.7" right="0.7" top="0.75" bottom="0.75" header="0.3" footer="0.3"/>
  <pageSetup orientation="portrait"/>
  <ignoredErrors>
    <ignoredError sqref="C5:E5"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40"/>
  <sheetViews>
    <sheetView workbookViewId="0">
      <selection activeCell="C1" sqref="C1"/>
    </sheetView>
  </sheetViews>
  <sheetFormatPr baseColWidth="10" defaultColWidth="8.83203125" defaultRowHeight="15" x14ac:dyDescent="0.2"/>
  <cols>
    <col min="1" max="1" width="3.1640625" style="84" customWidth="1"/>
    <col min="2" max="2" width="20.83203125" style="84" customWidth="1"/>
    <col min="3" max="3" width="10.6640625" style="84" bestFit="1" customWidth="1"/>
    <col min="4" max="4" width="15.83203125" style="84" bestFit="1" customWidth="1"/>
    <col min="5" max="6" width="8.83203125" style="84"/>
  </cols>
  <sheetData>
    <row r="1" spans="1:6" x14ac:dyDescent="0.2">
      <c r="A1" s="190" t="s">
        <v>804</v>
      </c>
      <c r="B1" s="190" t="s">
        <v>805</v>
      </c>
      <c r="C1" s="191" t="s">
        <v>806</v>
      </c>
      <c r="D1" s="191" t="s">
        <v>815</v>
      </c>
      <c r="E1" s="191" t="s">
        <v>808</v>
      </c>
      <c r="F1" s="192"/>
    </row>
    <row r="2" spans="1:6" x14ac:dyDescent="0.2">
      <c r="A2"/>
      <c r="B2" t="s">
        <v>891</v>
      </c>
      <c r="C2" s="196">
        <v>1520.6796875</v>
      </c>
      <c r="D2" s="196">
        <v>1531.33056640625</v>
      </c>
      <c r="E2" s="193">
        <f t="shared" ref="E2:E19" si="0">(ROWS($A$2:$A$19)-ROW()+ROW($A$2:$A$19)-0.5)/ROWS($A$2:$A$19)</f>
        <v>0.97222222222222221</v>
      </c>
      <c r="F2" s="194"/>
    </row>
    <row r="3" spans="1:6" x14ac:dyDescent="0.2">
      <c r="A3"/>
      <c r="B3" t="s">
        <v>6</v>
      </c>
      <c r="C3" s="196">
        <v>1601.8990478515625</v>
      </c>
      <c r="D3" s="196">
        <v>1609.7015380859375</v>
      </c>
      <c r="E3" s="193">
        <f t="shared" si="0"/>
        <v>0.91666666666666663</v>
      </c>
      <c r="F3" s="194"/>
    </row>
    <row r="4" spans="1:6" x14ac:dyDescent="0.2">
      <c r="A4"/>
      <c r="B4" t="s">
        <v>900</v>
      </c>
      <c r="C4" s="196">
        <v>1739.5361328125</v>
      </c>
      <c r="D4" s="196">
        <v>1743.822509765625</v>
      </c>
      <c r="E4" s="193">
        <f t="shared" si="0"/>
        <v>0.86111111111111116</v>
      </c>
      <c r="F4" s="194"/>
    </row>
    <row r="5" spans="1:6" x14ac:dyDescent="0.2">
      <c r="A5"/>
      <c r="B5" t="s">
        <v>15</v>
      </c>
      <c r="C5" s="196">
        <v>1761.2928466796875</v>
      </c>
      <c r="D5" s="196">
        <v>1765.6038818359375</v>
      </c>
      <c r="E5" s="193">
        <f t="shared" si="0"/>
        <v>0.80555555555555558</v>
      </c>
      <c r="F5" s="194"/>
    </row>
    <row r="6" spans="1:6" x14ac:dyDescent="0.2">
      <c r="A6"/>
      <c r="B6" t="s">
        <v>899</v>
      </c>
      <c r="C6" s="196">
        <v>1848.364990234375</v>
      </c>
      <c r="D6" s="196">
        <v>1850.735595703125</v>
      </c>
      <c r="E6" s="193">
        <f t="shared" si="0"/>
        <v>0.75</v>
      </c>
      <c r="F6" s="194"/>
    </row>
    <row r="7" spans="1:6" x14ac:dyDescent="0.2">
      <c r="A7"/>
      <c r="B7" t="s">
        <v>675</v>
      </c>
      <c r="C7" s="196">
        <v>1883.193359375</v>
      </c>
      <c r="D7" s="196">
        <v>1884.328857421875</v>
      </c>
      <c r="E7" s="193">
        <f t="shared" si="0"/>
        <v>0.69444444444444442</v>
      </c>
      <c r="F7" s="194"/>
    </row>
    <row r="8" spans="1:6" x14ac:dyDescent="0.2">
      <c r="A8"/>
      <c r="B8" t="s">
        <v>897</v>
      </c>
      <c r="C8" s="196">
        <v>1895.5386962890625</v>
      </c>
      <c r="D8" s="196">
        <v>1896.396728515625</v>
      </c>
      <c r="E8" s="193">
        <f t="shared" si="0"/>
        <v>0.63888888888888884</v>
      </c>
      <c r="F8" s="194"/>
    </row>
    <row r="9" spans="1:6" x14ac:dyDescent="0.2">
      <c r="A9"/>
      <c r="B9" t="s">
        <v>895</v>
      </c>
      <c r="C9" s="196">
        <v>1906.99462890625</v>
      </c>
      <c r="D9" s="196">
        <v>1907.5426025390625</v>
      </c>
      <c r="E9" s="193">
        <f t="shared" si="0"/>
        <v>0.58333333333333337</v>
      </c>
      <c r="F9" s="194"/>
    </row>
    <row r="10" spans="1:6" x14ac:dyDescent="0.2">
      <c r="A10"/>
      <c r="B10" t="s">
        <v>896</v>
      </c>
      <c r="C10" s="196">
        <v>1918.415283203125</v>
      </c>
      <c r="D10" s="196">
        <v>1918.72314453125</v>
      </c>
      <c r="E10" s="193">
        <f t="shared" si="0"/>
        <v>0.52777777777777779</v>
      </c>
      <c r="F10" s="194"/>
    </row>
    <row r="11" spans="1:6" x14ac:dyDescent="0.2">
      <c r="A11"/>
      <c r="B11" t="s">
        <v>839</v>
      </c>
      <c r="C11" s="196">
        <v>1970.365478515625</v>
      </c>
      <c r="D11" s="196">
        <v>1969.6116943359375</v>
      </c>
      <c r="E11" s="193">
        <f t="shared" si="0"/>
        <v>0.47222222222222221</v>
      </c>
      <c r="F11" s="194"/>
    </row>
    <row r="12" spans="1:6" x14ac:dyDescent="0.2">
      <c r="A12"/>
      <c r="B12" t="s">
        <v>898</v>
      </c>
      <c r="C12" s="196">
        <v>1977.1444091796875</v>
      </c>
      <c r="D12" s="196">
        <v>1976.47021484375</v>
      </c>
      <c r="E12" s="193">
        <f t="shared" si="0"/>
        <v>0.41666666666666669</v>
      </c>
      <c r="F12" s="194"/>
    </row>
    <row r="13" spans="1:6" x14ac:dyDescent="0.2">
      <c r="A13"/>
      <c r="B13" t="s">
        <v>838</v>
      </c>
      <c r="C13" s="196">
        <v>2004.2059326171875</v>
      </c>
      <c r="D13" s="196">
        <v>2002.8453369140625</v>
      </c>
      <c r="E13" s="193">
        <f t="shared" si="0"/>
        <v>0.3611111111111111</v>
      </c>
      <c r="F13" s="194"/>
    </row>
    <row r="14" spans="1:6" x14ac:dyDescent="0.2">
      <c r="A14"/>
      <c r="B14" t="s">
        <v>892</v>
      </c>
      <c r="C14" s="196">
        <v>2029.4444580078125</v>
      </c>
      <c r="D14" s="196">
        <v>2027.5711669921875</v>
      </c>
      <c r="E14" s="193">
        <f t="shared" si="0"/>
        <v>0.30555555555555558</v>
      </c>
      <c r="F14" s="194"/>
    </row>
    <row r="15" spans="1:6" x14ac:dyDescent="0.2">
      <c r="A15"/>
      <c r="B15" t="s">
        <v>894</v>
      </c>
      <c r="C15" s="196">
        <v>2131.857666015625</v>
      </c>
      <c r="D15" s="196">
        <v>2128.22802734375</v>
      </c>
      <c r="E15" s="193">
        <f t="shared" si="0"/>
        <v>0.25</v>
      </c>
      <c r="F15" s="194"/>
    </row>
    <row r="16" spans="1:6" x14ac:dyDescent="0.2">
      <c r="A16"/>
      <c r="B16" t="s">
        <v>842</v>
      </c>
      <c r="C16" s="196">
        <v>2135.952392578125</v>
      </c>
      <c r="D16" s="196">
        <v>2132.716064453125</v>
      </c>
      <c r="E16" s="193">
        <f t="shared" si="0"/>
        <v>0.19444444444444445</v>
      </c>
      <c r="F16" s="194"/>
    </row>
    <row r="17" spans="1:6" x14ac:dyDescent="0.2">
      <c r="A17"/>
      <c r="B17" t="s">
        <v>843</v>
      </c>
      <c r="C17" s="196">
        <v>2154.7724609375</v>
      </c>
      <c r="D17" s="196">
        <v>2151.66259765625</v>
      </c>
      <c r="E17" s="193">
        <f t="shared" si="0"/>
        <v>0.1388888888888889</v>
      </c>
      <c r="F17" s="194"/>
    </row>
    <row r="18" spans="1:6" x14ac:dyDescent="0.2">
      <c r="A18"/>
      <c r="B18" t="s">
        <v>893</v>
      </c>
      <c r="C18" s="196">
        <v>2174.618408203125</v>
      </c>
      <c r="D18" s="196">
        <v>2170.87158203125</v>
      </c>
      <c r="E18" s="193">
        <f t="shared" si="0"/>
        <v>8.3333333333333329E-2</v>
      </c>
      <c r="F18" s="194"/>
    </row>
    <row r="19" spans="1:6" x14ac:dyDescent="0.2">
      <c r="A19"/>
      <c r="B19" t="s">
        <v>844</v>
      </c>
      <c r="C19" s="196">
        <v>2187.857177734375</v>
      </c>
      <c r="D19" s="196">
        <v>2184.30810546875</v>
      </c>
      <c r="E19" s="193">
        <f t="shared" si="0"/>
        <v>2.7777777777777776E-2</v>
      </c>
      <c r="F19" s="194"/>
    </row>
    <row r="20" spans="1:6" x14ac:dyDescent="0.2">
      <c r="F20" s="194"/>
    </row>
    <row r="21" spans="1:6" x14ac:dyDescent="0.2">
      <c r="A21" s="195"/>
      <c r="B21" s="195"/>
      <c r="C21" s="195"/>
      <c r="D21" s="195"/>
      <c r="E21" s="195"/>
      <c r="F21" s="194"/>
    </row>
    <row r="22" spans="1:6" x14ac:dyDescent="0.2">
      <c r="F22" s="194"/>
    </row>
    <row r="23" spans="1:6" x14ac:dyDescent="0.2">
      <c r="B23"/>
      <c r="F23" s="194"/>
    </row>
    <row r="24" spans="1:6" x14ac:dyDescent="0.2">
      <c r="B24"/>
      <c r="F24" s="194"/>
    </row>
    <row r="25" spans="1:6" x14ac:dyDescent="0.2">
      <c r="B25"/>
      <c r="C25"/>
      <c r="F25" s="194"/>
    </row>
    <row r="26" spans="1:6" x14ac:dyDescent="0.2">
      <c r="B26"/>
      <c r="D26" s="199"/>
      <c r="F26" s="194"/>
    </row>
    <row r="27" spans="1:6" x14ac:dyDescent="0.2">
      <c r="B27"/>
      <c r="C27" s="199"/>
      <c r="D27" s="199"/>
      <c r="F27" s="194"/>
    </row>
    <row r="28" spans="1:6" x14ac:dyDescent="0.2">
      <c r="B28"/>
      <c r="C28" s="199"/>
      <c r="D28" s="199"/>
      <c r="F28" s="194"/>
    </row>
    <row r="29" spans="1:6" x14ac:dyDescent="0.2">
      <c r="B29"/>
      <c r="C29" s="199"/>
      <c r="D29" s="199"/>
      <c r="F29" s="194"/>
    </row>
    <row r="30" spans="1:6" x14ac:dyDescent="0.2">
      <c r="B30"/>
      <c r="C30" s="199"/>
      <c r="D30" s="199"/>
      <c r="F30" s="194"/>
    </row>
    <row r="31" spans="1:6" x14ac:dyDescent="0.2">
      <c r="B31"/>
      <c r="C31" s="199"/>
      <c r="D31" s="199"/>
      <c r="F31" s="194"/>
    </row>
    <row r="32" spans="1:6" x14ac:dyDescent="0.2">
      <c r="B32"/>
      <c r="C32" s="199"/>
      <c r="D32" s="199"/>
      <c r="F32" s="194"/>
    </row>
    <row r="33" spans="2:6" x14ac:dyDescent="0.2">
      <c r="B33"/>
      <c r="C33" s="199"/>
      <c r="D33" s="199"/>
      <c r="F33" s="194"/>
    </row>
    <row r="34" spans="2:6" x14ac:dyDescent="0.2">
      <c r="B34"/>
      <c r="C34" s="199"/>
      <c r="D34" s="199"/>
      <c r="F34" s="194"/>
    </row>
    <row r="35" spans="2:6" x14ac:dyDescent="0.2">
      <c r="B35"/>
      <c r="C35" s="199"/>
      <c r="D35" s="199"/>
    </row>
    <row r="36" spans="2:6" x14ac:dyDescent="0.2">
      <c r="B36"/>
      <c r="C36" s="199"/>
      <c r="D36" s="199"/>
    </row>
    <row r="37" spans="2:6" x14ac:dyDescent="0.2">
      <c r="B37"/>
      <c r="C37" s="199"/>
      <c r="D37" s="199"/>
    </row>
    <row r="38" spans="2:6" x14ac:dyDescent="0.2">
      <c r="B38"/>
      <c r="C38" s="199"/>
      <c r="D38" s="199"/>
    </row>
    <row r="39" spans="2:6" x14ac:dyDescent="0.2">
      <c r="B39"/>
      <c r="C39" s="199"/>
      <c r="D39" s="199"/>
    </row>
    <row r="40" spans="2:6" ht="8" customHeight="1" x14ac:dyDescent="0.2">
      <c r="B40"/>
      <c r="C40" s="199"/>
      <c r="D40" s="199"/>
    </row>
  </sheetData>
  <phoneticPr fontId="37" type="noConversion"/>
  <pageMargins left="0.2" right="0.2" top="0.25" bottom="0.25" header="0.05" footer="0.05"/>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B3:M24"/>
  <sheetViews>
    <sheetView topLeftCell="B1" workbookViewId="0">
      <selection activeCell="J7" sqref="J7"/>
    </sheetView>
  </sheetViews>
  <sheetFormatPr baseColWidth="10" defaultColWidth="10.83203125" defaultRowHeight="14" x14ac:dyDescent="0.15"/>
  <cols>
    <col min="1" max="1" width="10.83203125" style="3"/>
    <col min="2" max="2" width="11.6640625" style="3" customWidth="1"/>
    <col min="3" max="3" width="54.1640625" style="5" customWidth="1"/>
    <col min="4" max="4" width="5.6640625" style="5" customWidth="1"/>
    <col min="5" max="5" width="8.6640625" style="5" customWidth="1"/>
    <col min="6" max="6" width="9.83203125" style="5" customWidth="1"/>
    <col min="7" max="7" width="9.6640625" style="5" customWidth="1"/>
    <col min="8" max="9" width="9.83203125" style="5" customWidth="1"/>
    <col min="10" max="11" width="10.83203125" style="3"/>
    <col min="12" max="12" width="18.5" style="132" customWidth="1"/>
    <col min="13" max="13" width="10.83203125" style="130"/>
    <col min="14" max="16384" width="10.83203125" style="3"/>
  </cols>
  <sheetData>
    <row r="3" spans="2:13" ht="16" x14ac:dyDescent="0.15">
      <c r="B3" s="314" t="s">
        <v>196</v>
      </c>
      <c r="C3" s="314"/>
      <c r="D3" s="314"/>
      <c r="E3" s="314"/>
      <c r="F3" s="314"/>
      <c r="G3" s="314"/>
      <c r="H3" s="314"/>
      <c r="I3" s="187"/>
      <c r="J3" s="4" t="s">
        <v>1022</v>
      </c>
    </row>
    <row r="4" spans="2:13" s="4" customFormat="1" ht="47.25" customHeight="1" x14ac:dyDescent="0.15">
      <c r="B4" s="37" t="s">
        <v>83</v>
      </c>
      <c r="C4" s="37" t="s">
        <v>78</v>
      </c>
      <c r="D4" s="37" t="s">
        <v>94</v>
      </c>
      <c r="E4" s="37" t="s">
        <v>89</v>
      </c>
      <c r="F4" s="37" t="s">
        <v>88</v>
      </c>
      <c r="G4" s="189" t="s">
        <v>90</v>
      </c>
      <c r="H4" s="37" t="s">
        <v>192</v>
      </c>
      <c r="I4" s="134"/>
      <c r="J4" s="4" t="s">
        <v>802</v>
      </c>
      <c r="K4" s="4" t="s">
        <v>803</v>
      </c>
      <c r="L4" s="133" t="s">
        <v>190</v>
      </c>
      <c r="M4" s="131" t="s">
        <v>191</v>
      </c>
    </row>
    <row r="5" spans="2:13" x14ac:dyDescent="0.15">
      <c r="B5" s="36" t="s">
        <v>57</v>
      </c>
      <c r="C5" s="36" t="s">
        <v>58</v>
      </c>
      <c r="D5" s="36" t="s">
        <v>59</v>
      </c>
      <c r="E5" s="36" t="s">
        <v>60</v>
      </c>
      <c r="F5" s="36" t="s">
        <v>91</v>
      </c>
      <c r="G5" s="36" t="s">
        <v>95</v>
      </c>
      <c r="H5" s="36" t="s">
        <v>171</v>
      </c>
      <c r="I5" s="86"/>
    </row>
    <row r="6" spans="2:13" ht="27" customHeight="1" x14ac:dyDescent="0.15">
      <c r="B6" s="319" t="s">
        <v>3</v>
      </c>
      <c r="C6" s="39" t="s">
        <v>2</v>
      </c>
      <c r="D6" s="70">
        <v>540</v>
      </c>
      <c r="E6" s="156" t="s">
        <v>798</v>
      </c>
      <c r="F6" s="325" t="s">
        <v>93</v>
      </c>
      <c r="G6" s="325"/>
      <c r="H6" s="325"/>
      <c r="I6" s="186"/>
    </row>
    <row r="7" spans="2:13" ht="26" x14ac:dyDescent="0.15">
      <c r="B7" s="319"/>
      <c r="C7" s="39" t="s">
        <v>62</v>
      </c>
      <c r="D7" s="70">
        <v>558</v>
      </c>
      <c r="E7" s="156" t="s">
        <v>117</v>
      </c>
      <c r="F7" s="326" t="s">
        <v>93</v>
      </c>
      <c r="G7" s="326"/>
      <c r="H7" s="326"/>
      <c r="I7" s="186"/>
    </row>
    <row r="8" spans="2:13" ht="26" x14ac:dyDescent="0.15">
      <c r="B8" s="319"/>
      <c r="C8" s="39" t="s">
        <v>63</v>
      </c>
      <c r="D8" s="70">
        <v>566</v>
      </c>
      <c r="E8" s="156" t="s">
        <v>799</v>
      </c>
      <c r="F8" s="326" t="s">
        <v>93</v>
      </c>
      <c r="G8" s="326"/>
      <c r="H8" s="326"/>
      <c r="I8" s="186"/>
    </row>
    <row r="9" spans="2:13" ht="26" x14ac:dyDescent="0.15">
      <c r="B9" s="320"/>
      <c r="C9" s="40" t="s">
        <v>64</v>
      </c>
      <c r="D9" s="71">
        <v>562</v>
      </c>
      <c r="E9" s="71" t="s">
        <v>800</v>
      </c>
      <c r="F9" s="71">
        <v>2057</v>
      </c>
      <c r="G9" s="71">
        <v>120.87</v>
      </c>
      <c r="H9" s="71" t="str">
        <f t="shared" ref="H9:H23" si="0">CONCATENATE(L9,"     (",M9,")")</f>
        <v>75     (27.72)</v>
      </c>
      <c r="I9" s="186"/>
      <c r="J9" s="3">
        <f>LEFT(E9,4)*1</f>
        <v>2132</v>
      </c>
      <c r="K9" s="3">
        <f>RIGHT(E9,7)*-1</f>
        <v>26.42</v>
      </c>
      <c r="L9" s="132">
        <f>J9-F9</f>
        <v>75</v>
      </c>
      <c r="M9" s="3" t="str">
        <f t="shared" ref="M9:M23" si="1">TEXT(SQRT((G9^2)/208+K9^2),"0.00")</f>
        <v>27.72</v>
      </c>
    </row>
    <row r="10" spans="2:13" ht="32.25" customHeight="1" x14ac:dyDescent="0.15">
      <c r="B10" s="29" t="s">
        <v>86</v>
      </c>
      <c r="C10" s="32" t="s">
        <v>65</v>
      </c>
      <c r="D10" s="31">
        <v>538</v>
      </c>
      <c r="E10" s="242" t="s">
        <v>111</v>
      </c>
      <c r="F10" s="242">
        <v>1657</v>
      </c>
      <c r="G10" s="72">
        <v>262</v>
      </c>
      <c r="H10" s="72" t="str">
        <f t="shared" si="0"/>
        <v>226     (33.89)</v>
      </c>
      <c r="I10" s="139"/>
      <c r="J10" s="3">
        <f t="shared" ref="J10:J23" si="2">LEFT(E10,4)*1</f>
        <v>1883</v>
      </c>
      <c r="K10" s="3">
        <f>RIGHT(E10,7)*-1</f>
        <v>28.61</v>
      </c>
      <c r="L10" s="132">
        <f t="shared" ref="L10:L23" si="3">J10-F10</f>
        <v>226</v>
      </c>
      <c r="M10" s="3" t="str">
        <f t="shared" si="1"/>
        <v>33.89</v>
      </c>
    </row>
    <row r="11" spans="2:13" ht="25.5" customHeight="1" x14ac:dyDescent="0.15">
      <c r="B11" s="318" t="s">
        <v>5</v>
      </c>
      <c r="C11" s="39" t="s">
        <v>66</v>
      </c>
      <c r="D11" s="70">
        <v>554</v>
      </c>
      <c r="E11" s="156" t="s">
        <v>801</v>
      </c>
      <c r="F11" s="156">
        <v>1894</v>
      </c>
      <c r="G11" s="73">
        <v>202.2</v>
      </c>
      <c r="H11" s="73" t="str">
        <f t="shared" si="0"/>
        <v>13     (30.29)</v>
      </c>
      <c r="I11" s="139"/>
      <c r="J11" s="3">
        <f t="shared" si="2"/>
        <v>1907</v>
      </c>
      <c r="K11" s="3">
        <f>RIGHT(E11,7)*-1</f>
        <v>26.85</v>
      </c>
      <c r="L11" s="132">
        <f t="shared" si="3"/>
        <v>13</v>
      </c>
      <c r="M11" s="3" t="str">
        <f t="shared" si="1"/>
        <v>30.29</v>
      </c>
    </row>
    <row r="12" spans="2:13" ht="26" x14ac:dyDescent="0.15">
      <c r="B12" s="317"/>
      <c r="C12" s="28" t="s">
        <v>68</v>
      </c>
      <c r="D12" s="31">
        <v>549</v>
      </c>
      <c r="E12" s="242" t="s">
        <v>113</v>
      </c>
      <c r="F12" s="242">
        <v>1997</v>
      </c>
      <c r="G12" s="242">
        <v>196.75</v>
      </c>
      <c r="H12" s="242" t="str">
        <f t="shared" si="0"/>
        <v>-79     (29.30)</v>
      </c>
      <c r="I12" s="186"/>
      <c r="J12" s="3">
        <f t="shared" si="2"/>
        <v>1918</v>
      </c>
      <c r="K12" s="3">
        <f t="shared" ref="K12:K23" si="4">RIGHT(E12,7)*-1</f>
        <v>25.93</v>
      </c>
      <c r="L12" s="132">
        <f t="shared" si="3"/>
        <v>-79</v>
      </c>
      <c r="M12" s="3" t="str">
        <f t="shared" si="1"/>
        <v>29.30</v>
      </c>
    </row>
    <row r="13" spans="2:13" ht="39" x14ac:dyDescent="0.15">
      <c r="B13" s="29" t="s">
        <v>85</v>
      </c>
      <c r="C13" s="32" t="s">
        <v>69</v>
      </c>
      <c r="D13" s="31">
        <v>545</v>
      </c>
      <c r="E13" s="242" t="s">
        <v>107</v>
      </c>
      <c r="F13" s="242">
        <v>1709</v>
      </c>
      <c r="G13" s="242">
        <v>207.12</v>
      </c>
      <c r="H13" s="242" t="str">
        <f t="shared" si="0"/>
        <v>-107     (33.05)</v>
      </c>
      <c r="I13" s="186"/>
      <c r="J13" s="3">
        <f t="shared" si="2"/>
        <v>1602</v>
      </c>
      <c r="K13" s="3">
        <f t="shared" si="4"/>
        <v>29.77</v>
      </c>
      <c r="L13" s="132">
        <f t="shared" si="3"/>
        <v>-107</v>
      </c>
      <c r="M13" s="3" t="str">
        <f t="shared" si="1"/>
        <v>33.05</v>
      </c>
    </row>
    <row r="14" spans="2:13" ht="38.25" customHeight="1" x14ac:dyDescent="0.15">
      <c r="B14" s="321" t="s">
        <v>7</v>
      </c>
      <c r="C14" s="39" t="s">
        <v>70</v>
      </c>
      <c r="D14" s="70">
        <v>544</v>
      </c>
      <c r="E14" s="156" t="s">
        <v>116</v>
      </c>
      <c r="F14" s="156">
        <v>1933</v>
      </c>
      <c r="G14" s="156">
        <v>142.03</v>
      </c>
      <c r="H14" s="156" t="str">
        <f t="shared" si="0"/>
        <v>71     (29.10)</v>
      </c>
      <c r="I14" s="186"/>
      <c r="J14" s="3">
        <f t="shared" si="2"/>
        <v>2004</v>
      </c>
      <c r="K14" s="3">
        <f t="shared" si="4"/>
        <v>27.38</v>
      </c>
      <c r="L14" s="132">
        <f t="shared" si="3"/>
        <v>71</v>
      </c>
      <c r="M14" s="3" t="str">
        <f t="shared" si="1"/>
        <v>29.10</v>
      </c>
    </row>
    <row r="15" spans="2:13" ht="39" x14ac:dyDescent="0.15">
      <c r="B15" s="320"/>
      <c r="C15" s="40" t="s">
        <v>71</v>
      </c>
      <c r="D15" s="71">
        <v>550</v>
      </c>
      <c r="E15" s="71" t="s">
        <v>115</v>
      </c>
      <c r="F15" s="71">
        <v>1895</v>
      </c>
      <c r="G15" s="71">
        <v>162.54</v>
      </c>
      <c r="H15" s="71" t="str">
        <f t="shared" si="0"/>
        <v>75     (30.81)</v>
      </c>
      <c r="I15" s="186"/>
      <c r="J15" s="3">
        <f t="shared" si="2"/>
        <v>1970</v>
      </c>
      <c r="K15" s="3">
        <f t="shared" si="4"/>
        <v>28.68</v>
      </c>
      <c r="L15" s="132">
        <f t="shared" si="3"/>
        <v>75</v>
      </c>
      <c r="M15" s="3" t="str">
        <f t="shared" si="1"/>
        <v>30.81</v>
      </c>
    </row>
    <row r="16" spans="2:13" ht="25.5" customHeight="1" x14ac:dyDescent="0.15">
      <c r="B16" s="318" t="s">
        <v>8</v>
      </c>
      <c r="C16" s="39" t="s">
        <v>72</v>
      </c>
      <c r="D16" s="70">
        <v>545</v>
      </c>
      <c r="E16" s="70" t="s">
        <v>118</v>
      </c>
      <c r="F16" s="70">
        <v>1955</v>
      </c>
      <c r="G16" s="73">
        <v>149.9</v>
      </c>
      <c r="H16" s="73" t="str">
        <f t="shared" si="0"/>
        <v>181     (26.76)</v>
      </c>
      <c r="I16" s="139"/>
      <c r="J16" s="3">
        <f t="shared" si="2"/>
        <v>2136</v>
      </c>
      <c r="K16" s="3">
        <f t="shared" si="4"/>
        <v>24.66</v>
      </c>
      <c r="L16" s="132">
        <f t="shared" si="3"/>
        <v>181</v>
      </c>
      <c r="M16" s="3" t="str">
        <f t="shared" si="1"/>
        <v>26.76</v>
      </c>
    </row>
    <row r="17" spans="2:13" ht="39" x14ac:dyDescent="0.15">
      <c r="B17" s="318"/>
      <c r="C17" s="39" t="s">
        <v>73</v>
      </c>
      <c r="D17" s="70">
        <v>532</v>
      </c>
      <c r="E17" s="70" t="s">
        <v>119</v>
      </c>
      <c r="F17" s="70">
        <v>2002</v>
      </c>
      <c r="G17" s="70">
        <v>143.57</v>
      </c>
      <c r="H17" s="70" t="str">
        <f t="shared" si="0"/>
        <v>153     (25.14)</v>
      </c>
      <c r="I17" s="186"/>
      <c r="J17" s="3">
        <f t="shared" si="2"/>
        <v>2155</v>
      </c>
      <c r="K17" s="3">
        <f t="shared" si="4"/>
        <v>23.09</v>
      </c>
      <c r="L17" s="132">
        <f t="shared" si="3"/>
        <v>153</v>
      </c>
      <c r="M17" s="3" t="str">
        <f t="shared" si="1"/>
        <v>25.14</v>
      </c>
    </row>
    <row r="18" spans="2:13" ht="26" x14ac:dyDescent="0.15">
      <c r="B18" s="317"/>
      <c r="C18" s="40" t="s">
        <v>74</v>
      </c>
      <c r="D18" s="71">
        <v>532</v>
      </c>
      <c r="E18" s="71" t="s">
        <v>120</v>
      </c>
      <c r="F18" s="71">
        <v>2007</v>
      </c>
      <c r="G18" s="71">
        <v>131.93</v>
      </c>
      <c r="H18" s="71" t="str">
        <f t="shared" si="0"/>
        <v>181     (24.74)</v>
      </c>
      <c r="I18" s="186"/>
      <c r="J18" s="3">
        <f t="shared" si="2"/>
        <v>2188</v>
      </c>
      <c r="K18" s="3">
        <f t="shared" si="4"/>
        <v>22.99</v>
      </c>
      <c r="L18" s="132">
        <f t="shared" si="3"/>
        <v>181</v>
      </c>
      <c r="M18" s="3" t="str">
        <f t="shared" si="1"/>
        <v>24.74</v>
      </c>
    </row>
    <row r="19" spans="2:13" ht="53.25" customHeight="1" x14ac:dyDescent="0.15">
      <c r="B19" s="318" t="s">
        <v>11</v>
      </c>
      <c r="C19" s="39" t="s">
        <v>84</v>
      </c>
      <c r="D19" s="70">
        <v>555</v>
      </c>
      <c r="E19" s="70" t="s">
        <v>112</v>
      </c>
      <c r="F19" s="70">
        <v>1967</v>
      </c>
      <c r="G19" s="70">
        <v>253.43</v>
      </c>
      <c r="H19" s="70" t="str">
        <f t="shared" si="0"/>
        <v>-71     (33.43)</v>
      </c>
      <c r="I19" s="186"/>
      <c r="J19" s="3">
        <f t="shared" si="2"/>
        <v>1896</v>
      </c>
      <c r="K19" s="3">
        <f t="shared" si="4"/>
        <v>28.44</v>
      </c>
      <c r="L19" s="132">
        <f t="shared" si="3"/>
        <v>-71</v>
      </c>
      <c r="M19" s="3" t="str">
        <f t="shared" si="1"/>
        <v>33.43</v>
      </c>
    </row>
    <row r="20" spans="2:13" ht="50.25" customHeight="1" x14ac:dyDescent="0.15">
      <c r="B20" s="317"/>
      <c r="C20" s="28" t="s">
        <v>75</v>
      </c>
      <c r="D20" s="31">
        <v>568</v>
      </c>
      <c r="E20" s="31" t="s">
        <v>114</v>
      </c>
      <c r="F20" s="31">
        <v>1941</v>
      </c>
      <c r="G20" s="126">
        <v>179.27</v>
      </c>
      <c r="H20" s="128" t="str">
        <f t="shared" si="0"/>
        <v>36     (27.68)</v>
      </c>
      <c r="I20" s="186"/>
      <c r="J20" s="3">
        <f t="shared" si="2"/>
        <v>1977</v>
      </c>
      <c r="K20" s="3">
        <f t="shared" si="4"/>
        <v>24.73</v>
      </c>
      <c r="L20" s="132">
        <f t="shared" si="3"/>
        <v>36</v>
      </c>
      <c r="M20" s="3" t="str">
        <f t="shared" si="1"/>
        <v>27.68</v>
      </c>
    </row>
    <row r="21" spans="2:13" ht="39" x14ac:dyDescent="0.15">
      <c r="B21" s="29" t="s">
        <v>13</v>
      </c>
      <c r="C21" s="32" t="s">
        <v>81</v>
      </c>
      <c r="D21" s="31">
        <v>526</v>
      </c>
      <c r="E21" s="31" t="s">
        <v>110</v>
      </c>
      <c r="F21" s="31">
        <v>1877</v>
      </c>
      <c r="G21" s="126">
        <v>209.48</v>
      </c>
      <c r="H21" s="128" t="str">
        <f t="shared" si="0"/>
        <v>-29     (35.27)</v>
      </c>
      <c r="I21" s="186"/>
      <c r="J21" s="3">
        <f t="shared" si="2"/>
        <v>1848</v>
      </c>
      <c r="K21" s="3">
        <f t="shared" si="4"/>
        <v>32.14</v>
      </c>
      <c r="L21" s="132">
        <f t="shared" si="3"/>
        <v>-29</v>
      </c>
      <c r="M21" s="3" t="str">
        <f t="shared" si="1"/>
        <v>35.27</v>
      </c>
    </row>
    <row r="22" spans="2:13" ht="41.25" customHeight="1" x14ac:dyDescent="0.15">
      <c r="B22" s="27" t="s">
        <v>15</v>
      </c>
      <c r="C22" s="21" t="s">
        <v>76</v>
      </c>
      <c r="D22" s="26">
        <v>543</v>
      </c>
      <c r="E22" s="26" t="s">
        <v>109</v>
      </c>
      <c r="F22" s="26">
        <v>1850</v>
      </c>
      <c r="G22" s="127">
        <v>234.28</v>
      </c>
      <c r="H22" s="129" t="str">
        <f t="shared" si="0"/>
        <v>-89     (34.67)</v>
      </c>
      <c r="I22" s="186"/>
      <c r="J22" s="3">
        <f t="shared" si="2"/>
        <v>1761</v>
      </c>
      <c r="K22" s="3">
        <f t="shared" si="4"/>
        <v>30.63</v>
      </c>
      <c r="L22" s="132">
        <f t="shared" si="3"/>
        <v>-89</v>
      </c>
      <c r="M22" s="3" t="str">
        <f t="shared" si="1"/>
        <v>34.67</v>
      </c>
    </row>
    <row r="23" spans="2:13" ht="54" customHeight="1" x14ac:dyDescent="0.15">
      <c r="B23" s="80" t="s">
        <v>16</v>
      </c>
      <c r="C23" s="81" t="s">
        <v>77</v>
      </c>
      <c r="D23" s="80">
        <v>554</v>
      </c>
      <c r="E23" s="80" t="s">
        <v>108</v>
      </c>
      <c r="F23" s="80">
        <v>1757</v>
      </c>
      <c r="G23" s="80">
        <v>230.15</v>
      </c>
      <c r="H23" s="80" t="str">
        <f t="shared" si="0"/>
        <v>-17     (32.89)</v>
      </c>
      <c r="I23" s="186"/>
      <c r="J23" s="3">
        <f t="shared" si="2"/>
        <v>1740</v>
      </c>
      <c r="K23" s="3">
        <f t="shared" si="4"/>
        <v>28.76</v>
      </c>
      <c r="L23" s="132">
        <f t="shared" si="3"/>
        <v>-17</v>
      </c>
      <c r="M23" s="3" t="str">
        <f t="shared" si="1"/>
        <v>32.89</v>
      </c>
    </row>
    <row r="24" spans="2:13" ht="57" customHeight="1" x14ac:dyDescent="0.15">
      <c r="B24" s="324" t="s">
        <v>677</v>
      </c>
      <c r="C24" s="324"/>
      <c r="D24" s="324"/>
      <c r="E24" s="324"/>
      <c r="F24" s="324"/>
      <c r="G24" s="324"/>
      <c r="H24" s="324"/>
      <c r="I24" s="188"/>
    </row>
  </sheetData>
  <mergeCells count="10">
    <mergeCell ref="B19:B20"/>
    <mergeCell ref="B24:H24"/>
    <mergeCell ref="B3:H3"/>
    <mergeCell ref="F6:H6"/>
    <mergeCell ref="F7:H7"/>
    <mergeCell ref="F8:H8"/>
    <mergeCell ref="B14:B15"/>
    <mergeCell ref="B16:B18"/>
    <mergeCell ref="B6:B9"/>
    <mergeCell ref="B11:B12"/>
  </mergeCells>
  <phoneticPr fontId="37" type="noConversion"/>
  <pageMargins left="0.7" right="0.7" top="0.75" bottom="0.75" header="0.3" footer="0.3"/>
  <pageSetup paperSize="9" scale="75" orientation="portrait" verticalDpi="599"/>
  <ignoredErrors>
    <ignoredError sqref="B5:H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3:L16"/>
  <sheetViews>
    <sheetView workbookViewId="0">
      <selection activeCell="N14" sqref="N14"/>
    </sheetView>
  </sheetViews>
  <sheetFormatPr baseColWidth="10" defaultColWidth="10.83203125" defaultRowHeight="14" x14ac:dyDescent="0.15"/>
  <cols>
    <col min="1" max="1" width="10.83203125" style="3"/>
    <col min="2" max="2" width="11.6640625" style="3" customWidth="1"/>
    <col min="3" max="3" width="38.33203125" style="5" customWidth="1"/>
    <col min="4" max="4" width="10.83203125" style="5" customWidth="1"/>
    <col min="5" max="5" width="1.5" style="5" customWidth="1"/>
    <col min="6" max="6" width="10.83203125" style="5" customWidth="1"/>
    <col min="7" max="7" width="1.5" style="5" customWidth="1"/>
    <col min="8" max="8" width="9" style="5" customWidth="1"/>
    <col min="9" max="9" width="8.6640625" style="5" customWidth="1"/>
    <col min="10" max="10" width="9.83203125" style="5" customWidth="1"/>
    <col min="11" max="12" width="11.1640625" style="5" customWidth="1"/>
    <col min="13" max="16384" width="10.83203125" style="3"/>
  </cols>
  <sheetData>
    <row r="3" spans="2:12" ht="16" x14ac:dyDescent="0.15">
      <c r="B3" s="314" t="s">
        <v>197</v>
      </c>
      <c r="C3" s="314"/>
      <c r="D3" s="314"/>
      <c r="E3" s="314"/>
      <c r="F3" s="314"/>
      <c r="G3" s="314"/>
      <c r="H3" s="314"/>
      <c r="I3" s="314"/>
      <c r="J3" s="314"/>
      <c r="K3" s="314"/>
      <c r="L3" s="314"/>
    </row>
    <row r="4" spans="2:12" s="4" customFormat="1" ht="30.75" customHeight="1" x14ac:dyDescent="0.15">
      <c r="B4" s="152"/>
      <c r="C4" s="152"/>
      <c r="D4" s="152" t="s">
        <v>214</v>
      </c>
      <c r="E4" s="134"/>
      <c r="F4" s="152" t="s">
        <v>215</v>
      </c>
      <c r="G4" s="134"/>
      <c r="H4" s="327" t="s">
        <v>662</v>
      </c>
      <c r="I4" s="327"/>
      <c r="J4" s="327"/>
      <c r="K4" s="327"/>
      <c r="L4" s="327"/>
    </row>
    <row r="5" spans="2:12" s="4" customFormat="1" ht="45" customHeight="1" x14ac:dyDescent="0.15">
      <c r="B5" s="152" t="s">
        <v>83</v>
      </c>
      <c r="C5" s="152" t="s">
        <v>198</v>
      </c>
      <c r="D5" s="152" t="s">
        <v>660</v>
      </c>
      <c r="E5" s="152"/>
      <c r="F5" s="152" t="s">
        <v>660</v>
      </c>
      <c r="G5" s="134"/>
      <c r="H5" s="152" t="s">
        <v>209</v>
      </c>
      <c r="I5" s="152" t="s">
        <v>208</v>
      </c>
      <c r="J5" s="152" t="s">
        <v>211</v>
      </c>
      <c r="K5" s="152" t="s">
        <v>213</v>
      </c>
      <c r="L5" s="152" t="s">
        <v>499</v>
      </c>
    </row>
    <row r="6" spans="2:12" x14ac:dyDescent="0.15">
      <c r="B6" s="36" t="s">
        <v>57</v>
      </c>
      <c r="C6" s="36" t="s">
        <v>58</v>
      </c>
      <c r="D6" s="36" t="s">
        <v>59</v>
      </c>
      <c r="E6" s="36"/>
      <c r="F6" s="36" t="s">
        <v>60</v>
      </c>
      <c r="G6" s="36"/>
      <c r="H6" s="36" t="s">
        <v>91</v>
      </c>
      <c r="I6" s="36" t="s">
        <v>95</v>
      </c>
      <c r="J6" s="36" t="s">
        <v>171</v>
      </c>
      <c r="K6" s="36" t="s">
        <v>172</v>
      </c>
      <c r="L6" s="36" t="s">
        <v>661</v>
      </c>
    </row>
    <row r="7" spans="2:12" ht="32.25" customHeight="1" x14ac:dyDescent="0.15">
      <c r="B7" s="149" t="s">
        <v>675</v>
      </c>
      <c r="C7" s="32" t="s">
        <v>203</v>
      </c>
      <c r="D7" s="135" t="s">
        <v>1017</v>
      </c>
      <c r="E7" s="72"/>
      <c r="F7" s="72" t="s">
        <v>651</v>
      </c>
      <c r="G7" s="72"/>
      <c r="H7" s="149">
        <v>6</v>
      </c>
      <c r="I7" s="149">
        <v>0</v>
      </c>
      <c r="J7" s="149">
        <v>1306</v>
      </c>
      <c r="K7" s="135" t="s">
        <v>216</v>
      </c>
      <c r="L7" s="141" t="s">
        <v>496</v>
      </c>
    </row>
    <row r="8" spans="2:12" ht="25.5" customHeight="1" x14ac:dyDescent="0.15">
      <c r="B8" s="318" t="s">
        <v>5</v>
      </c>
      <c r="C8" s="39" t="s">
        <v>199</v>
      </c>
      <c r="D8" s="136" t="s">
        <v>232</v>
      </c>
      <c r="E8" s="73"/>
      <c r="F8" s="136" t="s">
        <v>652</v>
      </c>
      <c r="G8" s="73"/>
      <c r="H8" s="154">
        <v>5</v>
      </c>
      <c r="I8" s="154">
        <v>0</v>
      </c>
      <c r="J8" s="154">
        <v>1638</v>
      </c>
      <c r="K8" s="136" t="s">
        <v>261</v>
      </c>
      <c r="L8" s="142" t="s">
        <v>497</v>
      </c>
    </row>
    <row r="9" spans="2:12" ht="25.5" customHeight="1" x14ac:dyDescent="0.15">
      <c r="B9" s="318"/>
      <c r="C9" s="39" t="s">
        <v>201</v>
      </c>
      <c r="D9" s="136" t="s">
        <v>233</v>
      </c>
      <c r="E9" s="73"/>
      <c r="F9" s="136" t="s">
        <v>653</v>
      </c>
      <c r="G9" s="73"/>
      <c r="H9" s="154">
        <v>5</v>
      </c>
      <c r="I9" s="154">
        <v>0</v>
      </c>
      <c r="J9" s="154">
        <v>1574</v>
      </c>
      <c r="K9" s="136" t="s">
        <v>262</v>
      </c>
      <c r="L9" s="143" t="s">
        <v>498</v>
      </c>
    </row>
    <row r="10" spans="2:12" ht="26" x14ac:dyDescent="0.15">
      <c r="B10" s="317"/>
      <c r="C10" s="28" t="s">
        <v>200</v>
      </c>
      <c r="D10" s="149" t="s">
        <v>234</v>
      </c>
      <c r="E10" s="149"/>
      <c r="F10" s="149" t="s">
        <v>654</v>
      </c>
      <c r="G10" s="149"/>
      <c r="H10" s="149">
        <v>5</v>
      </c>
      <c r="I10" s="149">
        <v>0</v>
      </c>
      <c r="J10" s="149">
        <v>1668</v>
      </c>
      <c r="K10" s="137" t="s">
        <v>263</v>
      </c>
      <c r="L10" s="144" t="s">
        <v>500</v>
      </c>
    </row>
    <row r="11" spans="2:12" ht="39" x14ac:dyDescent="0.15">
      <c r="B11" s="149" t="s">
        <v>85</v>
      </c>
      <c r="C11" s="32" t="s">
        <v>202</v>
      </c>
      <c r="D11" s="149" t="s">
        <v>241</v>
      </c>
      <c r="E11" s="149"/>
      <c r="F11" s="149" t="s">
        <v>655</v>
      </c>
      <c r="G11" s="149"/>
      <c r="H11" s="149">
        <v>11</v>
      </c>
      <c r="I11" s="149">
        <v>0</v>
      </c>
      <c r="J11" s="149">
        <v>3211</v>
      </c>
      <c r="K11" s="149" t="s">
        <v>443</v>
      </c>
      <c r="L11" s="145" t="s">
        <v>504</v>
      </c>
    </row>
    <row r="12" spans="2:12" ht="53.25" customHeight="1" x14ac:dyDescent="0.15">
      <c r="B12" s="157" t="s">
        <v>295</v>
      </c>
      <c r="C12" s="158" t="s">
        <v>204</v>
      </c>
      <c r="D12" s="155" t="s">
        <v>240</v>
      </c>
      <c r="E12" s="157"/>
      <c r="F12" s="155" t="s">
        <v>656</v>
      </c>
      <c r="G12" s="157"/>
      <c r="H12" s="157">
        <v>4</v>
      </c>
      <c r="I12" s="157">
        <v>0</v>
      </c>
      <c r="J12" s="157">
        <v>2355</v>
      </c>
      <c r="K12" s="155" t="s">
        <v>239</v>
      </c>
      <c r="L12" s="157" t="s">
        <v>503</v>
      </c>
    </row>
    <row r="13" spans="2:12" s="147" customFormat="1" ht="26" x14ac:dyDescent="0.15">
      <c r="B13" s="145" t="s">
        <v>13</v>
      </c>
      <c r="C13" s="146" t="s">
        <v>207</v>
      </c>
      <c r="D13" s="145" t="s">
        <v>507</v>
      </c>
      <c r="E13" s="145"/>
      <c r="F13" s="145" t="s">
        <v>657</v>
      </c>
      <c r="G13" s="145"/>
      <c r="H13" s="145">
        <v>9</v>
      </c>
      <c r="I13" s="145">
        <v>0</v>
      </c>
      <c r="J13" s="145">
        <v>243423</v>
      </c>
      <c r="K13" s="145" t="s">
        <v>505</v>
      </c>
      <c r="L13" s="145" t="s">
        <v>506</v>
      </c>
    </row>
    <row r="14" spans="2:12" ht="30" customHeight="1" x14ac:dyDescent="0.15">
      <c r="B14" s="151" t="s">
        <v>15</v>
      </c>
      <c r="C14" s="21" t="s">
        <v>205</v>
      </c>
      <c r="D14" s="150" t="s">
        <v>236</v>
      </c>
      <c r="E14" s="150"/>
      <c r="F14" s="150" t="s">
        <v>658</v>
      </c>
      <c r="G14" s="150"/>
      <c r="H14" s="150">
        <v>5</v>
      </c>
      <c r="I14" s="150">
        <v>0</v>
      </c>
      <c r="J14" s="150">
        <v>1758</v>
      </c>
      <c r="K14" s="138" t="s">
        <v>235</v>
      </c>
      <c r="L14" s="150" t="s">
        <v>501</v>
      </c>
    </row>
    <row r="15" spans="2:12" ht="39.75" customHeight="1" x14ac:dyDescent="0.15">
      <c r="B15" s="153" t="s">
        <v>16</v>
      </c>
      <c r="C15" s="81" t="s">
        <v>206</v>
      </c>
      <c r="D15" s="153" t="s">
        <v>238</v>
      </c>
      <c r="E15" s="153"/>
      <c r="F15" s="153" t="s">
        <v>659</v>
      </c>
      <c r="G15" s="153"/>
      <c r="H15" s="153">
        <v>5</v>
      </c>
      <c r="I15" s="153">
        <v>2</v>
      </c>
      <c r="J15" s="153">
        <v>1889</v>
      </c>
      <c r="K15" s="153" t="s">
        <v>237</v>
      </c>
      <c r="L15" s="153" t="s">
        <v>502</v>
      </c>
    </row>
    <row r="16" spans="2:12" ht="51" customHeight="1" x14ac:dyDescent="0.15">
      <c r="B16" s="324" t="s">
        <v>678</v>
      </c>
      <c r="C16" s="324"/>
      <c r="D16" s="324"/>
      <c r="E16" s="324"/>
      <c r="F16" s="324"/>
      <c r="G16" s="324"/>
      <c r="H16" s="324"/>
      <c r="I16" s="324"/>
      <c r="J16" s="324"/>
      <c r="K16" s="324"/>
      <c r="L16" s="324"/>
    </row>
  </sheetData>
  <mergeCells count="4">
    <mergeCell ref="B3:L3"/>
    <mergeCell ref="H4:L4"/>
    <mergeCell ref="B8:B10"/>
    <mergeCell ref="B16:L16"/>
  </mergeCells>
  <pageMargins left="0.7" right="0.7" top="0.75" bottom="0.75" header="0.3" footer="0.3"/>
  <pageSetup paperSize="9" orientation="portrait" verticalDpi="59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M42"/>
  <sheetViews>
    <sheetView zoomScale="98" zoomScaleNormal="90" zoomScalePageLayoutView="90" workbookViewId="0">
      <selection sqref="A1:K1"/>
    </sheetView>
  </sheetViews>
  <sheetFormatPr baseColWidth="10" defaultColWidth="8.83203125" defaultRowHeight="13" x14ac:dyDescent="0.15"/>
  <cols>
    <col min="1" max="1" width="2.1640625" style="41" customWidth="1"/>
    <col min="2" max="2" width="32.1640625" style="41" customWidth="1"/>
    <col min="3" max="3" width="12" style="41" customWidth="1"/>
    <col min="4" max="4" width="14.5" style="41" customWidth="1"/>
    <col min="5" max="5" width="13.1640625" style="41" customWidth="1"/>
    <col min="6" max="6" width="11.5" style="41" customWidth="1"/>
    <col min="7" max="7" width="1.33203125" style="41" customWidth="1"/>
    <col min="8" max="8" width="12.83203125" style="41" customWidth="1"/>
    <col min="9" max="9" width="15.1640625" style="41" customWidth="1"/>
    <col min="10" max="10" width="12.5" style="41" customWidth="1"/>
    <col min="11" max="11" width="14.83203125" style="41" customWidth="1"/>
    <col min="12" max="12" width="1.6640625" style="60" customWidth="1"/>
    <col min="13" max="16384" width="8.83203125" style="41"/>
  </cols>
  <sheetData>
    <row r="1" spans="1:13" ht="15.75" customHeight="1" x14ac:dyDescent="0.2">
      <c r="A1" s="333" t="s">
        <v>217</v>
      </c>
      <c r="B1" s="333"/>
      <c r="C1" s="333"/>
      <c r="D1" s="333"/>
      <c r="E1" s="333"/>
      <c r="F1" s="333"/>
      <c r="G1" s="333"/>
      <c r="H1" s="333"/>
      <c r="I1" s="333"/>
      <c r="J1" s="333"/>
      <c r="K1" s="333"/>
      <c r="L1" s="42"/>
    </row>
    <row r="2" spans="1:13" s="47" customFormat="1" ht="4.5" customHeight="1" thickBot="1" x14ac:dyDescent="0.25">
      <c r="A2" s="43"/>
      <c r="B2" s="43"/>
      <c r="C2" s="43"/>
      <c r="D2" s="43"/>
      <c r="E2" s="43"/>
      <c r="F2" s="43"/>
      <c r="G2" s="43"/>
      <c r="H2" s="43"/>
      <c r="I2" s="43"/>
      <c r="J2" s="43"/>
      <c r="K2" s="43"/>
      <c r="L2" s="43"/>
      <c r="M2" s="44"/>
    </row>
    <row r="3" spans="1:13" ht="6" customHeight="1" thickTop="1" x14ac:dyDescent="0.15">
      <c r="B3" s="48"/>
      <c r="L3" s="48"/>
    </row>
    <row r="4" spans="1:13" ht="12" customHeight="1" x14ac:dyDescent="0.15">
      <c r="A4" s="328" t="s">
        <v>133</v>
      </c>
      <c r="B4" s="328"/>
      <c r="C4" s="329" t="s">
        <v>97</v>
      </c>
      <c r="D4" s="329"/>
      <c r="E4" s="329"/>
      <c r="F4" s="329"/>
      <c r="G4" s="111"/>
      <c r="H4" s="329" t="s">
        <v>98</v>
      </c>
      <c r="I4" s="329"/>
      <c r="J4" s="329"/>
      <c r="K4" s="329"/>
      <c r="L4" s="49"/>
    </row>
    <row r="5" spans="1:13" ht="26.25" customHeight="1" x14ac:dyDescent="0.15">
      <c r="A5" s="328" t="s">
        <v>132</v>
      </c>
      <c r="B5" s="328"/>
      <c r="C5" s="330" t="s">
        <v>153</v>
      </c>
      <c r="D5" s="330"/>
      <c r="E5" s="330" t="s">
        <v>154</v>
      </c>
      <c r="F5" s="330"/>
      <c r="G5" s="111"/>
      <c r="H5" s="330" t="s">
        <v>153</v>
      </c>
      <c r="I5" s="330"/>
      <c r="J5" s="330" t="s">
        <v>154</v>
      </c>
      <c r="K5" s="330"/>
      <c r="L5" s="49"/>
    </row>
    <row r="6" spans="1:13" s="50" customFormat="1" ht="13.5" customHeight="1" x14ac:dyDescent="0.15">
      <c r="B6" s="51"/>
      <c r="C6" s="334">
        <v>-1</v>
      </c>
      <c r="D6" s="334"/>
      <c r="E6" s="334">
        <v>-2</v>
      </c>
      <c r="F6" s="334"/>
      <c r="G6" s="56"/>
      <c r="H6" s="334">
        <v>-3</v>
      </c>
      <c r="I6" s="334"/>
      <c r="J6" s="334">
        <v>-4</v>
      </c>
      <c r="K6" s="334"/>
      <c r="L6" s="53"/>
    </row>
    <row r="7" spans="1:13" s="55" customFormat="1" ht="15" customHeight="1" x14ac:dyDescent="0.15">
      <c r="A7" s="64" t="s">
        <v>96</v>
      </c>
      <c r="C7" s="56"/>
      <c r="D7" s="56"/>
      <c r="E7" s="56"/>
      <c r="F7" s="56"/>
      <c r="G7" s="56"/>
      <c r="H7" s="56"/>
      <c r="I7" s="56"/>
      <c r="J7" s="56"/>
      <c r="K7" s="56"/>
      <c r="L7" s="57"/>
    </row>
    <row r="8" spans="1:13" ht="13.5" customHeight="1" x14ac:dyDescent="0.15">
      <c r="B8" s="110" t="s">
        <v>136</v>
      </c>
      <c r="C8" s="335">
        <v>33.136661889482298</v>
      </c>
      <c r="D8" s="335">
        <v>33.136661889482298</v>
      </c>
      <c r="E8" s="342">
        <v>20.546186500000001</v>
      </c>
      <c r="F8" s="342">
        <v>20.546186500000001</v>
      </c>
      <c r="G8" s="58"/>
      <c r="H8" s="339">
        <v>1.57690845464564E-2</v>
      </c>
      <c r="I8" s="339">
        <v>1.57690845464564E-2</v>
      </c>
      <c r="J8" s="344">
        <v>1.5641070999999999E-2</v>
      </c>
      <c r="K8" s="344">
        <v>1.5641070999999999E-2</v>
      </c>
      <c r="L8" s="59"/>
    </row>
    <row r="9" spans="1:13" ht="12.75" customHeight="1" x14ac:dyDescent="0.15">
      <c r="B9" s="110" t="s">
        <v>137</v>
      </c>
      <c r="C9" s="336" t="s">
        <v>936</v>
      </c>
      <c r="D9" s="336">
        <v>10.2510086050843</v>
      </c>
      <c r="E9" s="343" t="s">
        <v>939</v>
      </c>
      <c r="F9" s="343">
        <v>-5.2655147099999997</v>
      </c>
      <c r="G9" s="103"/>
      <c r="H9" s="340" t="s">
        <v>940</v>
      </c>
      <c r="I9" s="340">
        <v>5.4241806281596604E-3</v>
      </c>
      <c r="J9" s="340" t="s">
        <v>943</v>
      </c>
      <c r="K9" s="340">
        <v>-3.9088899999999999E-3</v>
      </c>
      <c r="L9" s="59"/>
    </row>
    <row r="10" spans="1:13" ht="15.75" customHeight="1" x14ac:dyDescent="0.15">
      <c r="B10" s="110" t="s">
        <v>99</v>
      </c>
      <c r="C10" s="337">
        <v>2.5570780469459202E-112</v>
      </c>
      <c r="D10" s="337">
        <v>2.5570780469459202E-112</v>
      </c>
      <c r="E10" s="337">
        <v>5.1168599999999998E-70</v>
      </c>
      <c r="F10" s="337">
        <v>5.1168599999999998E-70</v>
      </c>
      <c r="G10" s="58"/>
      <c r="H10" s="337">
        <v>1.27258556169451E-16</v>
      </c>
      <c r="I10" s="337">
        <v>1.27258556169451E-16</v>
      </c>
      <c r="J10" s="337">
        <v>1.7092670199999999E-16</v>
      </c>
      <c r="K10" s="337">
        <v>1.7092670199999999E-16</v>
      </c>
      <c r="L10" s="59"/>
    </row>
    <row r="11" spans="1:13" ht="13.5" customHeight="1" x14ac:dyDescent="0.15">
      <c r="B11" s="110" t="s">
        <v>137</v>
      </c>
      <c r="C11" s="336" t="s">
        <v>937</v>
      </c>
      <c r="D11" s="336">
        <v>1.1129617302744601E-69</v>
      </c>
      <c r="E11" s="341" t="s">
        <v>954</v>
      </c>
      <c r="F11" s="341">
        <v>-2.3571599999999999E-11</v>
      </c>
      <c r="G11" s="78"/>
      <c r="H11" s="341" t="s">
        <v>941</v>
      </c>
      <c r="I11" s="341">
        <v>4.8718113769361903E-12</v>
      </c>
      <c r="J11" s="338" t="s">
        <v>956</v>
      </c>
      <c r="K11" s="338">
        <v>-14.103051000000001</v>
      </c>
      <c r="L11" s="59"/>
    </row>
    <row r="12" spans="1:13" s="98" customFormat="1" ht="16.5" customHeight="1" x14ac:dyDescent="0.15">
      <c r="B12" s="110" t="s">
        <v>138</v>
      </c>
      <c r="C12" s="337">
        <v>7.1266238750356501E-7</v>
      </c>
      <c r="D12" s="337">
        <v>7.1266238750356501E-7</v>
      </c>
      <c r="E12" s="337">
        <v>3.1680760299999999E-6</v>
      </c>
      <c r="F12" s="337">
        <v>3.1680760299999999E-6</v>
      </c>
      <c r="G12" s="58"/>
      <c r="H12" s="337">
        <v>3.3200417941698701E-6</v>
      </c>
      <c r="I12" s="337">
        <v>3.3200417941698701E-6</v>
      </c>
      <c r="J12" s="337">
        <v>3.72225938E-6</v>
      </c>
      <c r="K12" s="337">
        <v>3.72225938E-6</v>
      </c>
      <c r="L12" s="121"/>
    </row>
    <row r="13" spans="1:13" s="98" customFormat="1" ht="13.5" customHeight="1" x14ac:dyDescent="0.15">
      <c r="B13" s="122" t="s">
        <v>935</v>
      </c>
      <c r="C13" s="336" t="s">
        <v>938</v>
      </c>
      <c r="D13" s="336">
        <v>9.6263084543319404E-6</v>
      </c>
      <c r="E13" s="338" t="s">
        <v>955</v>
      </c>
      <c r="F13" s="338">
        <v>-8.1566544400000005</v>
      </c>
      <c r="G13" s="78"/>
      <c r="H13" s="341" t="s">
        <v>942</v>
      </c>
      <c r="I13" s="341">
        <v>2.3165483048886199E-5</v>
      </c>
      <c r="J13" s="338" t="s">
        <v>957</v>
      </c>
      <c r="K13" s="338">
        <v>-8.8068286699999998</v>
      </c>
      <c r="L13" s="121"/>
    </row>
    <row r="14" spans="1:13" ht="3.75" customHeight="1" x14ac:dyDescent="0.15">
      <c r="B14" s="110"/>
      <c r="C14" s="337"/>
      <c r="D14" s="337"/>
      <c r="E14" s="337"/>
      <c r="F14" s="337"/>
      <c r="G14" s="78"/>
      <c r="H14" s="337"/>
      <c r="I14" s="337"/>
      <c r="J14" s="337"/>
      <c r="K14" s="337"/>
      <c r="L14" s="59"/>
    </row>
    <row r="15" spans="1:13" ht="15" customHeight="1" x14ac:dyDescent="0.15">
      <c r="B15" s="110" t="s">
        <v>94</v>
      </c>
      <c r="C15" s="345">
        <v>1664</v>
      </c>
      <c r="D15" s="345"/>
      <c r="E15" s="345">
        <v>1664</v>
      </c>
      <c r="F15" s="345"/>
      <c r="G15" s="78"/>
      <c r="H15" s="345">
        <v>1664</v>
      </c>
      <c r="I15" s="345"/>
      <c r="J15" s="345">
        <v>1664</v>
      </c>
      <c r="K15" s="345"/>
      <c r="L15" s="59"/>
    </row>
    <row r="16" spans="1:13" ht="3.75" customHeight="1" x14ac:dyDescent="0.15">
      <c r="B16" s="110"/>
      <c r="C16" s="78"/>
      <c r="D16" s="78"/>
      <c r="E16" s="78"/>
      <c r="F16" s="78"/>
      <c r="G16" s="78"/>
      <c r="H16" s="78"/>
      <c r="I16" s="78"/>
      <c r="J16" s="78"/>
      <c r="K16" s="78"/>
      <c r="L16" s="59"/>
    </row>
    <row r="17" spans="1:13" ht="25.5" customHeight="1" x14ac:dyDescent="0.15">
      <c r="B17" s="110" t="s">
        <v>151</v>
      </c>
      <c r="C17" s="345">
        <f>((C12/100+0.04)/C10)^(1/C8)</f>
        <v>2115.6806538728674</v>
      </c>
      <c r="D17" s="345"/>
      <c r="E17" s="346" t="s">
        <v>914</v>
      </c>
      <c r="F17" s="346"/>
      <c r="G17" s="90"/>
      <c r="H17" s="345">
        <f>1/H8*LN(((H12/100+0.04)/H10))</f>
        <v>2116.8911669202316</v>
      </c>
      <c r="I17" s="345"/>
      <c r="J17" s="345">
        <f>1/J8*LN(((J12/100+0.04)/J10))</f>
        <v>2115.3552693581546</v>
      </c>
      <c r="K17" s="345"/>
      <c r="L17" s="59"/>
    </row>
    <row r="18" spans="1:13" ht="25.5" customHeight="1" x14ac:dyDescent="0.15">
      <c r="B18" s="110" t="s">
        <v>152</v>
      </c>
      <c r="C18" s="345">
        <f>((C12/100+0.001)/C10)^(1/C8)</f>
        <v>1892.7931326289847</v>
      </c>
      <c r="D18" s="345"/>
      <c r="E18" s="346" t="s">
        <v>915</v>
      </c>
      <c r="F18" s="346"/>
      <c r="G18" s="90"/>
      <c r="H18" s="345">
        <f>1/H8*LN(((H12/100+0.001)/H10))</f>
        <v>1882.9621095047728</v>
      </c>
      <c r="I18" s="345"/>
      <c r="J18" s="345" t="s">
        <v>189</v>
      </c>
      <c r="K18" s="345"/>
      <c r="L18" s="59"/>
      <c r="M18" s="310">
        <f>1/$J$8*LN((($J$12/100+0.001)/$J$10))</f>
        <v>1879.5118822411666</v>
      </c>
    </row>
    <row r="19" spans="1:13" ht="3.75" customHeight="1" x14ac:dyDescent="0.15">
      <c r="B19" s="110"/>
      <c r="C19" s="78"/>
      <c r="D19" s="78"/>
      <c r="E19" s="78"/>
      <c r="F19" s="78"/>
      <c r="G19" s="78"/>
      <c r="H19" s="78"/>
      <c r="I19" s="78"/>
      <c r="J19" s="78"/>
      <c r="K19" s="78"/>
      <c r="L19" s="59"/>
    </row>
    <row r="20" spans="1:13" s="55" customFormat="1" ht="15" customHeight="1" x14ac:dyDescent="0.15">
      <c r="A20" s="64" t="s">
        <v>139</v>
      </c>
      <c r="C20" s="56"/>
      <c r="D20" s="56"/>
      <c r="E20" s="56"/>
      <c r="F20" s="56"/>
      <c r="G20" s="56"/>
      <c r="H20" s="56"/>
      <c r="I20" s="56"/>
      <c r="J20" s="56"/>
      <c r="K20" s="56"/>
      <c r="L20" s="57"/>
    </row>
    <row r="21" spans="1:13" ht="12" customHeight="1" x14ac:dyDescent="0.15">
      <c r="A21" s="328" t="s">
        <v>133</v>
      </c>
      <c r="B21" s="328"/>
      <c r="C21" s="329" t="s">
        <v>97</v>
      </c>
      <c r="D21" s="329"/>
      <c r="E21" s="329"/>
      <c r="F21" s="329"/>
      <c r="G21" s="311"/>
      <c r="H21" s="329" t="s">
        <v>98</v>
      </c>
      <c r="I21" s="329"/>
      <c r="J21" s="329"/>
      <c r="K21" s="329"/>
      <c r="L21" s="49"/>
    </row>
    <row r="22" spans="1:13" ht="12" customHeight="1" x14ac:dyDescent="0.15">
      <c r="A22" s="328" t="s">
        <v>132</v>
      </c>
      <c r="B22" s="328"/>
      <c r="C22" s="330" t="s">
        <v>1018</v>
      </c>
      <c r="D22" s="330"/>
      <c r="E22" s="330" t="s">
        <v>1019</v>
      </c>
      <c r="F22" s="330"/>
      <c r="G22" s="311"/>
      <c r="H22" s="330" t="s">
        <v>1018</v>
      </c>
      <c r="I22" s="330"/>
      <c r="J22" s="330" t="s">
        <v>1019</v>
      </c>
      <c r="K22" s="330"/>
      <c r="L22" s="49"/>
    </row>
    <row r="23" spans="1:13" s="65" customFormat="1" ht="41.25" customHeight="1" x14ac:dyDescent="0.15">
      <c r="B23" s="66"/>
      <c r="C23" s="67" t="s">
        <v>124</v>
      </c>
      <c r="D23" s="67" t="s">
        <v>135</v>
      </c>
      <c r="E23" s="67" t="s">
        <v>124</v>
      </c>
      <c r="F23" s="67"/>
      <c r="G23" s="69"/>
      <c r="H23" s="67" t="s">
        <v>124</v>
      </c>
      <c r="I23" s="67" t="s">
        <v>135</v>
      </c>
      <c r="J23" s="67" t="s">
        <v>124</v>
      </c>
      <c r="K23" s="67" t="s">
        <v>135</v>
      </c>
      <c r="L23" s="68"/>
    </row>
    <row r="24" spans="1:13" s="50" customFormat="1" ht="15" customHeight="1" x14ac:dyDescent="0.15">
      <c r="B24" s="51"/>
      <c r="C24" s="52">
        <v>-1</v>
      </c>
      <c r="D24" s="52">
        <v>-2</v>
      </c>
      <c r="E24" s="52">
        <v>-3</v>
      </c>
      <c r="F24" s="52"/>
      <c r="G24" s="56"/>
      <c r="H24" s="52">
        <v>-4</v>
      </c>
      <c r="I24" s="52">
        <v>-5</v>
      </c>
      <c r="J24" s="52">
        <v>-6</v>
      </c>
      <c r="K24" s="52">
        <v>-7</v>
      </c>
      <c r="L24" s="53"/>
    </row>
    <row r="25" spans="1:13" s="55" customFormat="1" ht="15" customHeight="1" x14ac:dyDescent="0.15">
      <c r="A25" s="54" t="s">
        <v>104</v>
      </c>
      <c r="C25" s="56"/>
      <c r="D25" s="56"/>
      <c r="F25" s="56"/>
      <c r="G25" s="56"/>
      <c r="H25" s="56"/>
      <c r="I25" s="56"/>
      <c r="K25" s="56"/>
      <c r="L25" s="57"/>
    </row>
    <row r="26" spans="1:13" ht="13.5" customHeight="1" x14ac:dyDescent="0.2">
      <c r="B26" s="110" t="s">
        <v>105</v>
      </c>
      <c r="C26" s="252">
        <v>2.9889440036828699E-3</v>
      </c>
      <c r="D26" s="251">
        <v>6.8000000000000005E-2</v>
      </c>
      <c r="E26" s="252">
        <v>6.4462299999999998E-3</v>
      </c>
      <c r="F26" s="87" t="s">
        <v>126</v>
      </c>
      <c r="G26" s="94"/>
      <c r="H26" s="252">
        <v>3.0747051509567701E-3</v>
      </c>
      <c r="I26" s="251">
        <v>6.7000000000000004E-2</v>
      </c>
      <c r="J26" s="252">
        <v>3.6660600000000001E-3</v>
      </c>
      <c r="K26" s="252">
        <v>7.0000000000000007E-2</v>
      </c>
      <c r="L26" s="59"/>
    </row>
    <row r="27" spans="1:13" ht="12.75" customHeight="1" x14ac:dyDescent="0.2">
      <c r="B27" s="110"/>
      <c r="C27" s="251" t="s">
        <v>945</v>
      </c>
      <c r="D27" s="251" t="s">
        <v>984</v>
      </c>
      <c r="E27" s="251" t="s">
        <v>983</v>
      </c>
      <c r="F27" s="88"/>
      <c r="G27" s="258"/>
      <c r="H27" s="251" t="s">
        <v>949</v>
      </c>
      <c r="I27" s="251" t="s">
        <v>982</v>
      </c>
      <c r="J27" s="251" t="s">
        <v>981</v>
      </c>
      <c r="K27" s="251" t="s">
        <v>982</v>
      </c>
      <c r="L27" s="59"/>
    </row>
    <row r="28" spans="1:13" ht="3" customHeight="1" x14ac:dyDescent="0.15">
      <c r="B28" s="110"/>
      <c r="C28" s="258"/>
      <c r="D28" s="258"/>
      <c r="E28" s="256"/>
      <c r="F28" s="88"/>
      <c r="G28" s="258"/>
      <c r="H28" s="258"/>
      <c r="I28" s="258"/>
      <c r="J28" s="256"/>
      <c r="K28" s="258"/>
      <c r="L28" s="59"/>
    </row>
    <row r="29" spans="1:13" ht="15.75" customHeight="1" x14ac:dyDescent="0.2">
      <c r="B29" s="110" t="s">
        <v>106</v>
      </c>
      <c r="C29" s="252">
        <v>0.1250594499496</v>
      </c>
      <c r="D29" s="251">
        <v>2.1999999999999999E-2</v>
      </c>
      <c r="E29" s="252">
        <v>0.18182502</v>
      </c>
      <c r="F29" s="89" t="s">
        <v>126</v>
      </c>
      <c r="G29" s="255" t="e">
        <f>100*#REF!</f>
        <v>#REF!</v>
      </c>
      <c r="H29" s="252">
        <v>0.142688556322659</v>
      </c>
      <c r="I29" s="251">
        <v>3.1E-2</v>
      </c>
      <c r="J29" s="252">
        <v>0.14267526999999999</v>
      </c>
      <c r="K29" s="251">
        <v>3.5000000000000003E-2</v>
      </c>
      <c r="L29" s="59"/>
    </row>
    <row r="30" spans="1:13" ht="15" x14ac:dyDescent="0.2">
      <c r="B30" s="122" t="s">
        <v>944</v>
      </c>
      <c r="C30" s="251" t="s">
        <v>946</v>
      </c>
      <c r="D30" s="251" t="s">
        <v>901</v>
      </c>
      <c r="E30" s="251" t="s">
        <v>902</v>
      </c>
      <c r="F30" s="90"/>
      <c r="G30" s="257"/>
      <c r="H30" s="251" t="s">
        <v>950</v>
      </c>
      <c r="I30" s="251" t="s">
        <v>980</v>
      </c>
      <c r="J30" s="251" t="s">
        <v>907</v>
      </c>
      <c r="K30" s="251" t="s">
        <v>908</v>
      </c>
      <c r="L30" s="59"/>
    </row>
    <row r="31" spans="1:13" ht="3" customHeight="1" x14ac:dyDescent="0.15">
      <c r="B31" s="110"/>
      <c r="C31" s="258"/>
      <c r="D31" s="258"/>
      <c r="E31" s="256"/>
      <c r="F31" s="88"/>
      <c r="G31" s="258"/>
      <c r="H31" s="258"/>
      <c r="I31" s="258"/>
      <c r="J31" s="256"/>
      <c r="K31" s="258"/>
      <c r="L31" s="59"/>
    </row>
    <row r="32" spans="1:13" s="98" customFormat="1" ht="15.75" customHeight="1" x14ac:dyDescent="0.2">
      <c r="B32" s="110" t="s">
        <v>150</v>
      </c>
      <c r="C32" s="253">
        <v>3.2643972682108501E-6</v>
      </c>
      <c r="D32" s="253">
        <v>1.2999999999999999E-5</v>
      </c>
      <c r="E32" s="253">
        <v>2.0350300000000001E-5</v>
      </c>
      <c r="F32" s="89" t="s">
        <v>126</v>
      </c>
      <c r="G32" s="255" t="e">
        <f>100*#REF!</f>
        <v>#REF!</v>
      </c>
      <c r="H32" s="253">
        <v>8.5887057726186396E-6</v>
      </c>
      <c r="I32" s="253">
        <v>2.8E-5</v>
      </c>
      <c r="J32" s="253">
        <v>2.34883E-5</v>
      </c>
      <c r="K32" s="253">
        <v>3.0000000000000001E-5</v>
      </c>
      <c r="L32" s="121"/>
    </row>
    <row r="33" spans="1:13" s="98" customFormat="1" ht="15" x14ac:dyDescent="0.2">
      <c r="B33" s="122" t="s">
        <v>935</v>
      </c>
      <c r="C33" s="251" t="s">
        <v>973</v>
      </c>
      <c r="D33" s="251" t="s">
        <v>974</v>
      </c>
      <c r="E33" s="251" t="s">
        <v>975</v>
      </c>
      <c r="F33" s="90"/>
      <c r="G33" s="257"/>
      <c r="H33" s="251" t="s">
        <v>976</v>
      </c>
      <c r="I33" s="251" t="s">
        <v>977</v>
      </c>
      <c r="J33" s="251" t="s">
        <v>978</v>
      </c>
      <c r="K33" s="251" t="s">
        <v>979</v>
      </c>
      <c r="L33" s="121"/>
    </row>
    <row r="34" spans="1:13" s="55" customFormat="1" ht="15" customHeight="1" x14ac:dyDescent="0.15">
      <c r="A34" s="54" t="s">
        <v>100</v>
      </c>
      <c r="C34" s="56"/>
      <c r="D34" s="56"/>
      <c r="E34" s="85"/>
      <c r="F34" s="91"/>
      <c r="G34" s="56"/>
      <c r="H34" s="56"/>
      <c r="I34" s="56"/>
      <c r="J34" s="85"/>
      <c r="K34" s="56"/>
      <c r="L34" s="57"/>
    </row>
    <row r="35" spans="1:13" ht="15" customHeight="1" x14ac:dyDescent="0.2">
      <c r="B35" s="110" t="s">
        <v>102</v>
      </c>
      <c r="C35" s="95">
        <v>1.1691116273739199</v>
      </c>
      <c r="D35" s="251">
        <v>0.76</v>
      </c>
      <c r="E35" s="95">
        <v>1.35793473</v>
      </c>
      <c r="F35" s="92" t="s">
        <v>126</v>
      </c>
      <c r="G35" s="58"/>
      <c r="H35" s="95">
        <v>1.1527043281415199</v>
      </c>
      <c r="I35" s="251">
        <v>0.76</v>
      </c>
      <c r="J35" s="95">
        <v>1.2368199499999999</v>
      </c>
      <c r="K35" s="251">
        <v>0.79</v>
      </c>
      <c r="L35" s="59"/>
    </row>
    <row r="36" spans="1:13" ht="12.75" customHeight="1" x14ac:dyDescent="0.2">
      <c r="B36" s="110"/>
      <c r="C36" s="251" t="s">
        <v>947</v>
      </c>
      <c r="D36" s="251" t="s">
        <v>903</v>
      </c>
      <c r="E36" s="251" t="s">
        <v>904</v>
      </c>
      <c r="F36" s="90"/>
      <c r="G36" s="257"/>
      <c r="H36" s="251" t="s">
        <v>951</v>
      </c>
      <c r="I36" s="251" t="s">
        <v>909</v>
      </c>
      <c r="J36" s="251" t="s">
        <v>910</v>
      </c>
      <c r="K36" s="251" t="s">
        <v>911</v>
      </c>
      <c r="L36" s="59"/>
    </row>
    <row r="37" spans="1:13" ht="3" customHeight="1" x14ac:dyDescent="0.15">
      <c r="B37" s="110"/>
      <c r="C37" s="74"/>
      <c r="D37" s="257"/>
      <c r="E37" s="256"/>
      <c r="F37" s="90"/>
      <c r="G37" s="257"/>
      <c r="H37" s="257"/>
      <c r="I37" s="257"/>
      <c r="J37" s="256"/>
      <c r="K37" s="257"/>
      <c r="L37" s="59"/>
    </row>
    <row r="38" spans="1:13" ht="15.75" customHeight="1" x14ac:dyDescent="0.2">
      <c r="B38" s="110" t="s">
        <v>103</v>
      </c>
      <c r="C38" s="95">
        <v>0.75310371321039904</v>
      </c>
      <c r="D38" s="251">
        <v>0.85</v>
      </c>
      <c r="E38" s="95">
        <v>0.74949275999999998</v>
      </c>
      <c r="F38" s="92" t="s">
        <v>126</v>
      </c>
      <c r="G38" s="58"/>
      <c r="H38" s="95">
        <v>0.76471721477599097</v>
      </c>
      <c r="I38" s="251">
        <v>0.85</v>
      </c>
      <c r="J38" s="95">
        <v>0.75419502000000005</v>
      </c>
      <c r="K38" s="251">
        <v>0.86</v>
      </c>
      <c r="L38" s="59"/>
    </row>
    <row r="39" spans="1:13" ht="15" x14ac:dyDescent="0.2">
      <c r="B39" s="110"/>
      <c r="C39" s="251" t="s">
        <v>948</v>
      </c>
      <c r="D39" s="251" t="s">
        <v>905</v>
      </c>
      <c r="E39" s="251" t="s">
        <v>906</v>
      </c>
      <c r="F39" s="90"/>
      <c r="G39" s="257"/>
      <c r="H39" s="251" t="s">
        <v>952</v>
      </c>
      <c r="I39" s="251" t="s">
        <v>912</v>
      </c>
      <c r="J39" s="251" t="s">
        <v>913</v>
      </c>
      <c r="K39" s="251" t="s">
        <v>912</v>
      </c>
      <c r="L39" s="59"/>
    </row>
    <row r="40" spans="1:13" ht="2.25" customHeight="1" x14ac:dyDescent="0.15">
      <c r="B40" s="110"/>
      <c r="C40" s="78"/>
      <c r="D40" s="78"/>
      <c r="E40" s="78"/>
      <c r="F40" s="78"/>
      <c r="G40" s="78"/>
      <c r="H40" s="78"/>
      <c r="I40" s="78"/>
      <c r="J40" s="78"/>
      <c r="K40" s="78"/>
      <c r="L40" s="59"/>
    </row>
    <row r="41" spans="1:13" ht="79.5" customHeight="1" x14ac:dyDescent="0.15">
      <c r="A41" s="331" t="s">
        <v>996</v>
      </c>
      <c r="B41" s="331"/>
      <c r="C41" s="331"/>
      <c r="D41" s="331"/>
      <c r="E41" s="331"/>
      <c r="F41" s="331"/>
      <c r="G41" s="331"/>
      <c r="H41" s="331"/>
      <c r="I41" s="331"/>
      <c r="J41" s="331"/>
      <c r="K41" s="331"/>
      <c r="L41" s="61"/>
    </row>
    <row r="42" spans="1:13" s="47" customFormat="1" x14ac:dyDescent="0.15">
      <c r="A42" s="332"/>
      <c r="B42" s="332"/>
      <c r="C42" s="62"/>
      <c r="D42" s="62"/>
      <c r="E42" s="62"/>
      <c r="F42" s="62"/>
      <c r="G42" s="62"/>
      <c r="H42" s="62"/>
      <c r="I42" s="62"/>
      <c r="J42" s="62"/>
      <c r="K42" s="62"/>
      <c r="L42" s="62"/>
      <c r="M42" s="106"/>
    </row>
  </sheetData>
  <mergeCells count="63">
    <mergeCell ref="J17:K17"/>
    <mergeCell ref="C18:D18"/>
    <mergeCell ref="E18:F18"/>
    <mergeCell ref="H18:I18"/>
    <mergeCell ref="J18:K18"/>
    <mergeCell ref="C17:D17"/>
    <mergeCell ref="E17:F17"/>
    <mergeCell ref="H17:I17"/>
    <mergeCell ref="J11:K11"/>
    <mergeCell ref="J12:K12"/>
    <mergeCell ref="C15:D15"/>
    <mergeCell ref="E15:F15"/>
    <mergeCell ref="H15:I15"/>
    <mergeCell ref="J15:K15"/>
    <mergeCell ref="H12:I12"/>
    <mergeCell ref="H13:I13"/>
    <mergeCell ref="J13:K13"/>
    <mergeCell ref="C12:D12"/>
    <mergeCell ref="C13:D13"/>
    <mergeCell ref="J14:K14"/>
    <mergeCell ref="H14:I14"/>
    <mergeCell ref="E14:F14"/>
    <mergeCell ref="C14:D14"/>
    <mergeCell ref="E11:F11"/>
    <mergeCell ref="H5:I5"/>
    <mergeCell ref="J5:K5"/>
    <mergeCell ref="E8:F8"/>
    <mergeCell ref="E9:F9"/>
    <mergeCell ref="E10:F10"/>
    <mergeCell ref="E5:F5"/>
    <mergeCell ref="J8:K8"/>
    <mergeCell ref="J9:K9"/>
    <mergeCell ref="J10:K10"/>
    <mergeCell ref="E12:F12"/>
    <mergeCell ref="E13:F13"/>
    <mergeCell ref="H8:I8"/>
    <mergeCell ref="H9:I9"/>
    <mergeCell ref="H10:I10"/>
    <mergeCell ref="H11:I11"/>
    <mergeCell ref="A41:K41"/>
    <mergeCell ref="A42:B42"/>
    <mergeCell ref="A1:K1"/>
    <mergeCell ref="A4:B4"/>
    <mergeCell ref="C4:F4"/>
    <mergeCell ref="H4:K4"/>
    <mergeCell ref="A5:B5"/>
    <mergeCell ref="C6:D6"/>
    <mergeCell ref="E6:F6"/>
    <mergeCell ref="H6:I6"/>
    <mergeCell ref="J6:K6"/>
    <mergeCell ref="C5:D5"/>
    <mergeCell ref="C8:D8"/>
    <mergeCell ref="C9:D9"/>
    <mergeCell ref="C10:D10"/>
    <mergeCell ref="C11:D11"/>
    <mergeCell ref="A21:B21"/>
    <mergeCell ref="C21:F21"/>
    <mergeCell ref="H21:K21"/>
    <mergeCell ref="A22:B22"/>
    <mergeCell ref="C22:D22"/>
    <mergeCell ref="E22:F22"/>
    <mergeCell ref="H22:I22"/>
    <mergeCell ref="J22:K22"/>
  </mergeCells>
  <pageMargins left="0.7" right="0.7" top="0.75" bottom="0.75" header="0.3" footer="0.3"/>
  <pageSetup scale="9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W34"/>
  <sheetViews>
    <sheetView zoomScaleNormal="90" zoomScalePageLayoutView="90" workbookViewId="0">
      <selection sqref="A1:I1"/>
    </sheetView>
  </sheetViews>
  <sheetFormatPr baseColWidth="10" defaultColWidth="8.83203125" defaultRowHeight="13" x14ac:dyDescent="0.15"/>
  <cols>
    <col min="1" max="1" width="2.1640625" style="41" customWidth="1"/>
    <col min="2" max="2" width="28" style="41" customWidth="1"/>
    <col min="3" max="3" width="12" style="41" customWidth="1"/>
    <col min="4" max="4" width="14.5" style="41" customWidth="1"/>
    <col min="5" max="5" width="13.1640625" style="41" customWidth="1"/>
    <col min="6" max="6" width="1.33203125" style="41" customWidth="1"/>
    <col min="7" max="7" width="12.83203125" style="41" customWidth="1"/>
    <col min="8" max="8" width="15.1640625" style="41" customWidth="1"/>
    <col min="9" max="9" width="12.5" style="41" customWidth="1"/>
    <col min="10" max="10" width="1.6640625" style="60" customWidth="1"/>
    <col min="11" max="11" width="8.83203125" style="41"/>
    <col min="12" max="12" width="12.33203125" style="41" bestFit="1" customWidth="1"/>
    <col min="13" max="13" width="25.1640625" style="41" bestFit="1" customWidth="1"/>
    <col min="14" max="23" width="11.6640625" style="41" customWidth="1"/>
    <col min="24" max="16384" width="8.83203125" style="41"/>
  </cols>
  <sheetData>
    <row r="1" spans="1:18" ht="15.75" customHeight="1" x14ac:dyDescent="0.2">
      <c r="A1" s="333" t="s">
        <v>144</v>
      </c>
      <c r="B1" s="333"/>
      <c r="C1" s="333"/>
      <c r="D1" s="333"/>
      <c r="E1" s="333"/>
      <c r="F1" s="333"/>
      <c r="G1" s="333"/>
      <c r="H1" s="333"/>
      <c r="I1" s="333"/>
      <c r="J1" s="42"/>
    </row>
    <row r="2" spans="1:18" s="47" customFormat="1" ht="4.5" customHeight="1" thickBot="1" x14ac:dyDescent="0.25">
      <c r="A2" s="43"/>
      <c r="B2" s="43"/>
      <c r="C2" s="43"/>
      <c r="D2" s="43"/>
      <c r="E2" s="43"/>
      <c r="F2" s="43"/>
      <c r="G2" s="43"/>
      <c r="H2" s="43"/>
      <c r="I2" s="43"/>
      <c r="J2" s="43"/>
      <c r="K2" s="44"/>
      <c r="L2" s="44"/>
      <c r="M2" s="45"/>
      <c r="N2" s="46"/>
      <c r="O2" s="46"/>
    </row>
    <row r="3" spans="1:18" ht="6" customHeight="1" thickTop="1" x14ac:dyDescent="0.15">
      <c r="B3" s="48"/>
      <c r="J3" s="48"/>
    </row>
    <row r="4" spans="1:18" ht="15.75" customHeight="1" x14ac:dyDescent="0.15">
      <c r="A4" s="107" t="s">
        <v>132</v>
      </c>
      <c r="B4" s="107"/>
      <c r="C4" s="349" t="s">
        <v>134</v>
      </c>
      <c r="D4" s="349"/>
      <c r="E4" s="349"/>
      <c r="F4" s="349"/>
      <c r="G4" s="349"/>
      <c r="H4" s="349"/>
      <c r="I4" s="349"/>
      <c r="J4" s="49"/>
    </row>
    <row r="5" spans="1:18" ht="15.75" customHeight="1" x14ac:dyDescent="0.15">
      <c r="A5" s="107" t="s">
        <v>133</v>
      </c>
      <c r="B5" s="107"/>
      <c r="C5" s="329" t="s">
        <v>97</v>
      </c>
      <c r="D5" s="329"/>
      <c r="E5" s="329"/>
      <c r="F5" s="111"/>
      <c r="G5" s="329" t="s">
        <v>98</v>
      </c>
      <c r="H5" s="329"/>
      <c r="I5" s="329"/>
      <c r="J5" s="49"/>
    </row>
    <row r="6" spans="1:18" s="50" customFormat="1" ht="15" customHeight="1" x14ac:dyDescent="0.15">
      <c r="B6" s="51"/>
      <c r="C6" s="108">
        <v>-1</v>
      </c>
      <c r="D6" s="108">
        <v>-2</v>
      </c>
      <c r="E6" s="108">
        <v>-3</v>
      </c>
      <c r="F6" s="56"/>
      <c r="G6" s="108">
        <v>-4</v>
      </c>
      <c r="H6" s="108">
        <v>-5</v>
      </c>
      <c r="I6" s="108">
        <v>-6</v>
      </c>
      <c r="J6" s="53"/>
    </row>
    <row r="7" spans="1:18" s="55" customFormat="1" ht="15" customHeight="1" x14ac:dyDescent="0.15">
      <c r="A7" s="64" t="s">
        <v>140</v>
      </c>
      <c r="C7" s="56"/>
      <c r="D7" s="56"/>
      <c r="E7" s="56"/>
      <c r="F7" s="56"/>
      <c r="G7" s="56"/>
      <c r="H7" s="56"/>
      <c r="I7" s="56"/>
      <c r="J7" s="57"/>
    </row>
    <row r="8" spans="1:18" ht="13.5" customHeight="1" x14ac:dyDescent="0.15">
      <c r="B8" s="110" t="s">
        <v>136</v>
      </c>
      <c r="C8" s="105">
        <v>20.592470200000001</v>
      </c>
      <c r="D8" s="105">
        <v>18.870951399999999</v>
      </c>
      <c r="E8" s="105">
        <v>19.638331900000001</v>
      </c>
      <c r="F8" s="58"/>
      <c r="G8" s="100">
        <v>1.3362354E-2</v>
      </c>
      <c r="H8" s="100">
        <v>1.1905888999999999E-2</v>
      </c>
      <c r="I8" s="100">
        <f>0.00720097</f>
        <v>7.2009700000000001E-3</v>
      </c>
      <c r="J8" s="59"/>
    </row>
    <row r="9" spans="1:18" ht="12.75" customHeight="1" x14ac:dyDescent="0.15">
      <c r="B9" s="110" t="s">
        <v>137</v>
      </c>
      <c r="C9" s="104">
        <v>-4.2152204199999996</v>
      </c>
      <c r="D9" s="104">
        <v>-3.9246103300000001</v>
      </c>
      <c r="E9" s="104">
        <v>-14.1894068</v>
      </c>
      <c r="F9" s="103"/>
      <c r="G9" s="103">
        <v>-2.3999999999999998E-3</v>
      </c>
      <c r="H9" s="103" t="s">
        <v>157</v>
      </c>
      <c r="I9" s="103" t="s">
        <v>158</v>
      </c>
      <c r="J9" s="59"/>
    </row>
    <row r="10" spans="1:18" ht="3.75" customHeight="1" x14ac:dyDescent="0.15">
      <c r="B10" s="110"/>
      <c r="C10" s="78"/>
      <c r="D10" s="78"/>
      <c r="E10" s="78"/>
      <c r="F10" s="78"/>
      <c r="G10" s="75"/>
      <c r="H10" s="75"/>
      <c r="I10" s="78"/>
      <c r="J10" s="59"/>
    </row>
    <row r="11" spans="1:18" ht="15.75" customHeight="1" x14ac:dyDescent="0.15">
      <c r="B11" s="110" t="s">
        <v>99</v>
      </c>
      <c r="C11" s="99">
        <f>0.000000000000376593/1E+57</f>
        <v>3.7659299999999994E-70</v>
      </c>
      <c r="D11" s="99">
        <f>0.000000391881/1E+57</f>
        <v>3.9188100000000003E-64</v>
      </c>
      <c r="E11" s="99">
        <f>0.00000000101553/1E+57</f>
        <v>1.0155299999999998E-66</v>
      </c>
      <c r="F11" s="58"/>
      <c r="G11" s="99">
        <f>242.253891/10000000000000000</f>
        <v>2.4225389100000002E-14</v>
      </c>
      <c r="H11" s="99">
        <f>7501.06444/10000000000000000</f>
        <v>7.5010644399999998E-13</v>
      </c>
      <c r="I11" s="99">
        <f>546248965.4/10000000000000000</f>
        <v>5.4624896539999996E-8</v>
      </c>
      <c r="J11" s="59"/>
      <c r="L11" s="96"/>
    </row>
    <row r="12" spans="1:18" ht="13.5" customHeight="1" x14ac:dyDescent="0.15">
      <c r="B12" s="110" t="s">
        <v>137</v>
      </c>
      <c r="C12" s="249" t="s">
        <v>958</v>
      </c>
      <c r="D12" s="97" t="s">
        <v>959</v>
      </c>
      <c r="E12" s="97" t="s">
        <v>159</v>
      </c>
      <c r="F12" s="78"/>
      <c r="G12" s="101" t="s">
        <v>160</v>
      </c>
      <c r="H12" s="99" t="s">
        <v>161</v>
      </c>
      <c r="I12" s="99" t="s">
        <v>162</v>
      </c>
      <c r="J12" s="59"/>
      <c r="K12" s="96"/>
    </row>
    <row r="13" spans="1:18" s="98" customFormat="1" ht="18.75" customHeight="1" x14ac:dyDescent="0.15">
      <c r="B13" s="122" t="s">
        <v>173</v>
      </c>
      <c r="C13" s="248">
        <v>2.6599999999999999E-6</v>
      </c>
      <c r="D13" s="248" t="str">
        <f>"6.22E-06"</f>
        <v>6.22E-06</v>
      </c>
      <c r="E13" s="248" t="str">
        <f>"3.75E-6"</f>
        <v>3.75E-6</v>
      </c>
      <c r="F13" s="248"/>
      <c r="G13" s="248" t="str">
        <f>"1.65E-5"</f>
        <v>1.65E-5</v>
      </c>
      <c r="H13" s="248" t="str">
        <f>"5.55E-5"</f>
        <v>5.55E-5</v>
      </c>
      <c r="I13" s="248" t="str">
        <f>"3.14E-3"</f>
        <v>3.14E-3</v>
      </c>
      <c r="J13" s="121"/>
    </row>
    <row r="14" spans="1:18" s="98" customFormat="1" ht="13.5" customHeight="1" x14ac:dyDescent="0.15">
      <c r="B14" s="122" t="s">
        <v>935</v>
      </c>
      <c r="C14" s="249" t="str">
        <f>"(5.45E-6)"</f>
        <v>(5.45E-6)</v>
      </c>
      <c r="D14" s="249" t="str">
        <f>"(12.24E-06)"</f>
        <v>(12.24E-06)</v>
      </c>
      <c r="E14" s="249" t="str">
        <f>"(34.61E-6)"</f>
        <v>(34.61E-6)</v>
      </c>
      <c r="F14" s="249"/>
      <c r="G14" s="249" t="str">
        <f>"(2.26E-5)"</f>
        <v>(2.26E-5)</v>
      </c>
      <c r="H14" s="249" t="str">
        <f>"(6.78E-5)"</f>
        <v>(6.78E-5)</v>
      </c>
      <c r="I14" s="249" t="str">
        <f>"(7.16E-3)"</f>
        <v>(7.16E-3)</v>
      </c>
      <c r="J14" s="121"/>
    </row>
    <row r="15" spans="1:18" ht="20.25" customHeight="1" x14ac:dyDescent="0.15">
      <c r="B15" s="110" t="s">
        <v>1020</v>
      </c>
      <c r="C15" s="263">
        <f>L15/100</f>
        <v>1.9450767999999998E-3</v>
      </c>
      <c r="D15" s="263">
        <f>M15/100</f>
        <v>3.7714413E-3</v>
      </c>
      <c r="E15" s="263">
        <f>N15/100</f>
        <v>2.9519398000000001E-3</v>
      </c>
      <c r="F15" s="263"/>
      <c r="G15" s="263">
        <f>P15/100</f>
        <v>2.3897314000000001E-3</v>
      </c>
      <c r="H15" s="263">
        <f>Q15/100</f>
        <v>4.6599932000000004E-3</v>
      </c>
      <c r="I15" s="263">
        <f>R15/100</f>
        <v>4.2960613399999993E-2</v>
      </c>
      <c r="J15" s="59"/>
      <c r="L15" s="262">
        <v>0.19450767999999999</v>
      </c>
      <c r="M15" s="262">
        <v>0.37714413000000002</v>
      </c>
      <c r="N15" s="262">
        <v>0.29519398000000002</v>
      </c>
      <c r="O15" s="262"/>
      <c r="P15" s="262">
        <v>0.23897314</v>
      </c>
      <c r="Q15" s="262">
        <v>0.46599931999999999</v>
      </c>
      <c r="R15" s="262">
        <v>4.2960613399999996</v>
      </c>
    </row>
    <row r="16" spans="1:18" ht="13.5" customHeight="1" x14ac:dyDescent="0.15">
      <c r="B16" s="110" t="s">
        <v>148</v>
      </c>
      <c r="C16" s="249" t="s">
        <v>163</v>
      </c>
      <c r="D16" s="249" t="s">
        <v>164</v>
      </c>
      <c r="E16" s="249" t="s">
        <v>165</v>
      </c>
      <c r="F16" s="249"/>
      <c r="G16" s="249" t="s">
        <v>166</v>
      </c>
      <c r="H16" s="249" t="s">
        <v>127</v>
      </c>
      <c r="I16" s="249" t="s">
        <v>167</v>
      </c>
      <c r="J16" s="59"/>
    </row>
    <row r="17" spans="1:23" ht="16.5" customHeight="1" x14ac:dyDescent="0.15">
      <c r="B17" s="110" t="s">
        <v>147</v>
      </c>
      <c r="C17" s="249">
        <v>1</v>
      </c>
      <c r="D17" s="249">
        <v>0.88</v>
      </c>
      <c r="E17" s="249">
        <v>0.92352920999999999</v>
      </c>
      <c r="F17" s="249"/>
      <c r="G17" s="249">
        <v>1</v>
      </c>
      <c r="H17" s="249">
        <v>0.88</v>
      </c>
      <c r="I17" s="249">
        <v>0.46794242000000003</v>
      </c>
      <c r="J17" s="59"/>
    </row>
    <row r="18" spans="1:23" ht="13.5" customHeight="1" x14ac:dyDescent="0.15">
      <c r="B18" s="110" t="s">
        <v>3</v>
      </c>
      <c r="C18" s="249" t="s">
        <v>141</v>
      </c>
      <c r="D18" s="249" t="s">
        <v>141</v>
      </c>
      <c r="E18" s="249" t="s">
        <v>168</v>
      </c>
      <c r="F18" s="249"/>
      <c r="G18" s="249" t="s">
        <v>141</v>
      </c>
      <c r="H18" s="249" t="s">
        <v>141</v>
      </c>
      <c r="I18" s="249" t="s">
        <v>169</v>
      </c>
      <c r="J18" s="59"/>
    </row>
    <row r="19" spans="1:23" ht="15" customHeight="1" x14ac:dyDescent="0.15">
      <c r="B19" s="110" t="s">
        <v>94</v>
      </c>
      <c r="C19" s="250">
        <v>2787</v>
      </c>
      <c r="D19" s="250">
        <v>2787</v>
      </c>
      <c r="E19" s="250">
        <v>2787</v>
      </c>
      <c r="F19" s="250"/>
      <c r="G19" s="250">
        <v>2787</v>
      </c>
      <c r="H19" s="250">
        <v>2787</v>
      </c>
      <c r="I19" s="250">
        <v>2787</v>
      </c>
      <c r="J19" s="59"/>
    </row>
    <row r="20" spans="1:23" ht="21.75" customHeight="1" x14ac:dyDescent="0.15">
      <c r="A20" s="347" t="s">
        <v>1021</v>
      </c>
      <c r="B20" s="347"/>
      <c r="C20" s="347"/>
      <c r="D20" s="347"/>
      <c r="E20" s="99"/>
      <c r="F20" s="58"/>
      <c r="G20" s="112"/>
      <c r="H20" s="112"/>
      <c r="I20" s="99"/>
      <c r="J20" s="59"/>
    </row>
    <row r="21" spans="1:23" ht="13.5" customHeight="1" x14ac:dyDescent="0.2">
      <c r="B21" s="110" t="s">
        <v>145</v>
      </c>
      <c r="C21" s="93" t="s">
        <v>126</v>
      </c>
      <c r="D21" s="101" t="s">
        <v>126</v>
      </c>
      <c r="E21" s="101" t="s">
        <v>126</v>
      </c>
      <c r="F21" s="78"/>
      <c r="G21" s="259">
        <v>5.0000000000000001E-4</v>
      </c>
      <c r="H21" s="259">
        <v>1.1000000000000001E-3</v>
      </c>
      <c r="I21" s="261">
        <v>1.7000000000000001E-2</v>
      </c>
      <c r="J21" s="59"/>
    </row>
    <row r="22" spans="1:23" ht="13.5" customHeight="1" x14ac:dyDescent="0.2">
      <c r="B22" s="110" t="s">
        <v>146</v>
      </c>
      <c r="C22" s="93" t="s">
        <v>126</v>
      </c>
      <c r="D22" s="101" t="s">
        <v>126</v>
      </c>
      <c r="E22" s="101" t="s">
        <v>126</v>
      </c>
      <c r="F22" s="78"/>
      <c r="G22" s="261">
        <v>1.4999999999999999E-2</v>
      </c>
      <c r="H22" s="261">
        <v>2.3E-2</v>
      </c>
      <c r="I22" s="260">
        <v>0.12</v>
      </c>
      <c r="J22" s="59"/>
    </row>
    <row r="23" spans="1:23" ht="13.5" customHeight="1" x14ac:dyDescent="0.2">
      <c r="B23" s="110" t="s">
        <v>149</v>
      </c>
      <c r="C23" s="93" t="s">
        <v>126</v>
      </c>
      <c r="D23" s="101" t="s">
        <v>126</v>
      </c>
      <c r="E23" s="101" t="s">
        <v>126</v>
      </c>
      <c r="F23" s="78"/>
      <c r="G23" s="261">
        <v>5.3999999999999999E-2</v>
      </c>
      <c r="H23" s="261">
        <v>7.5999999999999998E-2</v>
      </c>
      <c r="I23" s="260">
        <v>0.24</v>
      </c>
      <c r="J23" s="59"/>
    </row>
    <row r="24" spans="1:23" ht="3.75" customHeight="1" x14ac:dyDescent="0.15">
      <c r="B24" s="110"/>
      <c r="C24" s="78"/>
      <c r="D24" s="78"/>
      <c r="E24" s="78"/>
      <c r="F24" s="78"/>
      <c r="G24" s="78"/>
      <c r="H24" s="78"/>
      <c r="I24" s="78"/>
      <c r="J24" s="59"/>
    </row>
    <row r="25" spans="1:23" s="55" customFormat="1" ht="15" customHeight="1" x14ac:dyDescent="0.15">
      <c r="A25" s="64" t="s">
        <v>143</v>
      </c>
      <c r="C25" s="56"/>
      <c r="D25" s="56"/>
      <c r="E25" s="56"/>
      <c r="F25" s="56"/>
      <c r="G25" s="56"/>
      <c r="H25" s="56"/>
      <c r="I25" s="56"/>
      <c r="J25" s="57"/>
      <c r="N25" s="348"/>
      <c r="O25" s="348"/>
      <c r="P25" s="348"/>
      <c r="Q25" s="348"/>
      <c r="R25" s="65"/>
      <c r="S25" s="65"/>
      <c r="T25" s="348"/>
      <c r="U25" s="348"/>
      <c r="V25" s="348"/>
      <c r="W25" s="348"/>
    </row>
    <row r="26" spans="1:23" s="65" customFormat="1" ht="41.25" customHeight="1" x14ac:dyDescent="0.15">
      <c r="B26" s="66"/>
      <c r="C26" s="67" t="s">
        <v>124</v>
      </c>
      <c r="D26" s="67" t="s">
        <v>135</v>
      </c>
      <c r="E26" s="69"/>
      <c r="F26" s="69"/>
      <c r="G26" s="83"/>
      <c r="H26" s="69"/>
      <c r="I26" s="69"/>
      <c r="J26" s="82"/>
      <c r="N26" s="67"/>
      <c r="O26" s="67"/>
      <c r="P26" s="67"/>
      <c r="Q26" s="67"/>
      <c r="R26" s="50"/>
      <c r="S26" s="50"/>
      <c r="T26" s="67"/>
      <c r="U26" s="67"/>
      <c r="V26" s="67"/>
      <c r="W26" s="67"/>
    </row>
    <row r="27" spans="1:23" s="50" customFormat="1" ht="15" customHeight="1" x14ac:dyDescent="0.15">
      <c r="B27" s="51"/>
      <c r="C27" s="52">
        <v>-1</v>
      </c>
      <c r="D27" s="52">
        <v>-2</v>
      </c>
      <c r="E27" s="56"/>
      <c r="F27" s="56"/>
      <c r="G27" s="56"/>
      <c r="H27" s="56"/>
      <c r="I27" s="56"/>
      <c r="J27" s="57"/>
    </row>
    <row r="28" spans="1:23" s="55" customFormat="1" ht="15" customHeight="1" x14ac:dyDescent="0.15">
      <c r="A28" s="54" t="s">
        <v>142</v>
      </c>
      <c r="C28" s="56"/>
      <c r="D28" s="56"/>
      <c r="F28" s="56"/>
      <c r="G28" s="56"/>
      <c r="H28" s="56"/>
      <c r="J28" s="57"/>
    </row>
    <row r="29" spans="1:23" ht="13.5" customHeight="1" x14ac:dyDescent="0.2">
      <c r="B29" s="110" t="s">
        <v>101</v>
      </c>
      <c r="C29" s="251">
        <v>1.73</v>
      </c>
      <c r="D29" s="251">
        <v>2.76</v>
      </c>
      <c r="E29" s="109"/>
      <c r="F29" s="94"/>
      <c r="G29" s="76"/>
      <c r="H29" s="76"/>
      <c r="I29" s="102"/>
      <c r="J29" s="59"/>
      <c r="M29" s="110"/>
      <c r="N29" s="79"/>
      <c r="O29" s="79"/>
      <c r="P29" s="79"/>
      <c r="Q29" s="79"/>
      <c r="R29" s="79"/>
      <c r="S29" s="79"/>
      <c r="T29" s="79"/>
      <c r="U29" s="79"/>
      <c r="V29" s="79"/>
      <c r="W29" s="79"/>
    </row>
    <row r="30" spans="1:23" ht="12.75" customHeight="1" x14ac:dyDescent="0.2">
      <c r="B30" s="110"/>
      <c r="C30" s="251" t="s">
        <v>933</v>
      </c>
      <c r="D30" s="251" t="s">
        <v>934</v>
      </c>
      <c r="E30" s="109"/>
      <c r="F30" s="77"/>
      <c r="G30" s="77"/>
      <c r="H30" s="77"/>
      <c r="I30" s="109"/>
      <c r="J30" s="59"/>
      <c r="M30" s="110"/>
      <c r="N30" s="79"/>
      <c r="O30" s="79"/>
      <c r="P30" s="79"/>
      <c r="Q30" s="79"/>
      <c r="R30" s="79"/>
      <c r="S30" s="79"/>
      <c r="T30" s="79"/>
      <c r="U30" s="79"/>
      <c r="V30" s="79"/>
      <c r="W30" s="79"/>
    </row>
    <row r="31" spans="1:23" ht="3" customHeight="1" x14ac:dyDescent="0.15">
      <c r="B31" s="110"/>
      <c r="C31" s="77"/>
      <c r="D31" s="77"/>
      <c r="E31" s="109"/>
      <c r="F31" s="77"/>
      <c r="G31" s="77"/>
      <c r="H31" s="77"/>
      <c r="I31" s="109"/>
      <c r="J31" s="59"/>
      <c r="M31" s="110"/>
      <c r="N31" s="79"/>
      <c r="O31" s="79"/>
      <c r="P31" s="79"/>
      <c r="Q31" s="79"/>
      <c r="R31" s="79"/>
      <c r="S31" s="79"/>
      <c r="T31" s="79"/>
      <c r="U31" s="79"/>
      <c r="V31" s="79"/>
      <c r="W31" s="79"/>
    </row>
    <row r="32" spans="1:23" ht="2.25" customHeight="1" x14ac:dyDescent="0.15">
      <c r="B32" s="110"/>
      <c r="C32" s="78"/>
      <c r="D32" s="78"/>
      <c r="E32" s="78"/>
      <c r="F32" s="78"/>
      <c r="G32" s="78"/>
      <c r="H32" s="78"/>
      <c r="I32" s="78"/>
      <c r="J32" s="59"/>
    </row>
    <row r="33" spans="1:15" ht="46.5" customHeight="1" x14ac:dyDescent="0.15">
      <c r="A33" s="331" t="s">
        <v>170</v>
      </c>
      <c r="B33" s="331"/>
      <c r="C33" s="331"/>
      <c r="D33" s="331"/>
      <c r="E33" s="331"/>
      <c r="F33" s="331"/>
      <c r="G33" s="331"/>
      <c r="H33" s="331"/>
      <c r="I33" s="331"/>
      <c r="J33" s="61"/>
    </row>
    <row r="34" spans="1:15" s="47" customFormat="1" x14ac:dyDescent="0.15">
      <c r="A34" s="106"/>
      <c r="B34" s="106"/>
      <c r="C34" s="62"/>
      <c r="D34" s="62"/>
      <c r="E34" s="62"/>
      <c r="F34" s="62"/>
      <c r="G34" s="62"/>
      <c r="H34" s="62"/>
      <c r="I34" s="62"/>
      <c r="J34" s="62"/>
      <c r="K34" s="106"/>
      <c r="L34" s="106"/>
      <c r="M34" s="63"/>
      <c r="N34" s="46"/>
      <c r="O34" s="46"/>
    </row>
  </sheetData>
  <mergeCells count="8">
    <mergeCell ref="A20:D20"/>
    <mergeCell ref="N25:Q25"/>
    <mergeCell ref="T25:W25"/>
    <mergeCell ref="A33:I33"/>
    <mergeCell ref="A1:I1"/>
    <mergeCell ref="C4:I4"/>
    <mergeCell ref="C5:E5"/>
    <mergeCell ref="G5:I5"/>
  </mergeCells>
  <pageMargins left="0.7" right="0.7" top="0.75" bottom="0.75" header="0.3" footer="0.3"/>
  <pageSetup scale="98"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I40"/>
  <sheetViews>
    <sheetView workbookViewId="0">
      <selection activeCell="G22" sqref="G22"/>
    </sheetView>
  </sheetViews>
  <sheetFormatPr baseColWidth="10" defaultColWidth="9.1640625" defaultRowHeight="14" x14ac:dyDescent="0.15"/>
  <cols>
    <col min="1" max="2" width="2.1640625" style="3" customWidth="1"/>
    <col min="3" max="3" width="32.5" style="3" customWidth="1"/>
    <col min="4" max="5" width="11.83203125" style="3" customWidth="1"/>
    <col min="6" max="16384" width="9.1640625" style="3"/>
  </cols>
  <sheetData>
    <row r="1" spans="1:5" ht="16" x14ac:dyDescent="0.2">
      <c r="A1" s="350" t="s">
        <v>194</v>
      </c>
      <c r="B1" s="350"/>
      <c r="C1" s="350"/>
      <c r="D1" s="350"/>
      <c r="E1" s="350"/>
    </row>
    <row r="2" spans="1:5" ht="4.5" customHeight="1" thickBot="1" x14ac:dyDescent="0.25">
      <c r="A2" s="1"/>
      <c r="B2" s="1"/>
      <c r="C2" s="1"/>
      <c r="D2" s="1"/>
      <c r="E2" s="1"/>
    </row>
    <row r="3" spans="1:5" ht="6.75" customHeight="1" thickTop="1" x14ac:dyDescent="0.2">
      <c r="A3" s="2"/>
      <c r="B3" s="2"/>
      <c r="C3" s="2"/>
      <c r="D3" s="2"/>
      <c r="E3" s="2"/>
    </row>
    <row r="4" spans="1:5" ht="14.25" customHeight="1" x14ac:dyDescent="0.15">
      <c r="D4" s="18" t="s">
        <v>40</v>
      </c>
      <c r="E4" s="18" t="s">
        <v>41</v>
      </c>
    </row>
    <row r="5" spans="1:5" ht="17.25" customHeight="1" x14ac:dyDescent="0.15">
      <c r="A5" s="19"/>
      <c r="B5" s="19"/>
      <c r="C5" s="19"/>
      <c r="D5" s="20" t="s">
        <v>57</v>
      </c>
      <c r="E5" s="20" t="s">
        <v>58</v>
      </c>
    </row>
    <row r="6" spans="1:5" s="7" customFormat="1" ht="14.25" customHeight="1" x14ac:dyDescent="0.15">
      <c r="A6" s="10" t="s">
        <v>42</v>
      </c>
      <c r="B6" s="10"/>
      <c r="C6" s="10"/>
      <c r="D6" s="11">
        <v>1936</v>
      </c>
      <c r="E6" s="11"/>
    </row>
    <row r="7" spans="1:5" s="7" customFormat="1" ht="4.5" customHeight="1" x14ac:dyDescent="0.15">
      <c r="A7" s="10"/>
      <c r="B7" s="10"/>
      <c r="C7" s="10"/>
      <c r="D7" s="12"/>
      <c r="E7" s="12"/>
    </row>
    <row r="8" spans="1:5" s="7" customFormat="1" ht="14.25" customHeight="1" x14ac:dyDescent="0.15">
      <c r="A8" s="10" t="s">
        <v>43</v>
      </c>
      <c r="B8" s="10"/>
      <c r="C8" s="10"/>
      <c r="D8" s="12">
        <v>12.9</v>
      </c>
      <c r="E8" s="12"/>
    </row>
    <row r="9" spans="1:5" ht="4.5" customHeight="1" x14ac:dyDescent="0.15">
      <c r="A9" s="6"/>
      <c r="B9" s="6"/>
      <c r="C9" s="6"/>
      <c r="D9" s="12"/>
      <c r="E9" s="12"/>
    </row>
    <row r="10" spans="1:5" s="7" customFormat="1" ht="14.25" customHeight="1" x14ac:dyDescent="0.15">
      <c r="A10" s="10" t="s">
        <v>44</v>
      </c>
      <c r="B10" s="10"/>
      <c r="C10" s="10"/>
      <c r="D10" s="12">
        <v>0.85</v>
      </c>
      <c r="E10" s="12"/>
    </row>
    <row r="11" spans="1:5" ht="4.5" customHeight="1" x14ac:dyDescent="0.15">
      <c r="A11" s="6"/>
      <c r="B11" s="6"/>
      <c r="C11" s="6"/>
      <c r="D11" s="12"/>
      <c r="E11" s="12"/>
    </row>
    <row r="12" spans="1:5" s="8" customFormat="1" ht="14.25" customHeight="1" x14ac:dyDescent="0.15">
      <c r="A12" s="13" t="s">
        <v>156</v>
      </c>
      <c r="B12" s="13"/>
      <c r="C12" s="13"/>
      <c r="D12" s="12">
        <v>0.12</v>
      </c>
      <c r="E12" s="12"/>
    </row>
    <row r="13" spans="1:5" ht="4.5" customHeight="1" x14ac:dyDescent="0.15">
      <c r="A13" s="6"/>
      <c r="B13" s="6"/>
      <c r="C13" s="6"/>
      <c r="D13" s="12"/>
      <c r="E13" s="12"/>
    </row>
    <row r="14" spans="1:5" s="7" customFormat="1" ht="14.25" customHeight="1" x14ac:dyDescent="0.15">
      <c r="A14" s="10" t="s">
        <v>45</v>
      </c>
      <c r="B14" s="10"/>
      <c r="C14" s="10"/>
      <c r="D14" s="12">
        <v>0.54</v>
      </c>
      <c r="E14" s="12">
        <v>0.52</v>
      </c>
    </row>
    <row r="15" spans="1:5" ht="4.5" customHeight="1" x14ac:dyDescent="0.15">
      <c r="A15" s="6"/>
      <c r="B15" s="6"/>
      <c r="C15" s="6"/>
      <c r="D15" s="12"/>
      <c r="E15" s="12"/>
    </row>
    <row r="16" spans="1:5" s="9" customFormat="1" ht="14.25" customHeight="1" x14ac:dyDescent="0.15">
      <c r="A16" s="14" t="s">
        <v>46</v>
      </c>
      <c r="B16" s="14"/>
      <c r="C16" s="14"/>
      <c r="D16" s="12"/>
      <c r="E16" s="12"/>
    </row>
    <row r="17" spans="1:9" ht="4.5" customHeight="1" x14ac:dyDescent="0.15">
      <c r="A17" s="6"/>
      <c r="B17" s="6"/>
      <c r="C17" s="6"/>
      <c r="D17" s="12"/>
      <c r="E17" s="12"/>
    </row>
    <row r="18" spans="1:9" ht="14.25" customHeight="1" x14ac:dyDescent="0.15">
      <c r="A18" s="6"/>
      <c r="B18" s="6" t="s">
        <v>47</v>
      </c>
      <c r="C18" s="6"/>
      <c r="D18" s="12">
        <v>0.09</v>
      </c>
      <c r="E18" s="12">
        <v>0.44</v>
      </c>
    </row>
    <row r="19" spans="1:9" ht="4.5" customHeight="1" x14ac:dyDescent="0.15">
      <c r="A19" s="6"/>
      <c r="B19" s="6"/>
      <c r="C19" s="6"/>
      <c r="D19" s="12"/>
      <c r="E19" s="12"/>
    </row>
    <row r="20" spans="1:9" s="7" customFormat="1" ht="14.25" customHeight="1" x14ac:dyDescent="0.15">
      <c r="A20" s="10"/>
      <c r="B20" s="10" t="s">
        <v>48</v>
      </c>
      <c r="C20" s="10"/>
      <c r="D20" s="12">
        <v>0.36</v>
      </c>
      <c r="E20" s="12">
        <v>0.28000000000000003</v>
      </c>
    </row>
    <row r="21" spans="1:9" s="7" customFormat="1" ht="4.5" customHeight="1" x14ac:dyDescent="0.15">
      <c r="A21" s="10"/>
      <c r="B21" s="10"/>
      <c r="C21" s="10"/>
      <c r="D21" s="12"/>
      <c r="E21" s="12"/>
    </row>
    <row r="22" spans="1:9" s="7" customFormat="1" ht="14.25" customHeight="1" x14ac:dyDescent="0.15">
      <c r="A22" s="10"/>
      <c r="B22" s="10" t="s">
        <v>49</v>
      </c>
      <c r="C22" s="10"/>
      <c r="D22" s="12">
        <v>0.55000000000000004</v>
      </c>
      <c r="E22" s="12">
        <v>0.28000000000000003</v>
      </c>
    </row>
    <row r="23" spans="1:9" ht="4.5" customHeight="1" x14ac:dyDescent="0.15">
      <c r="A23" s="6"/>
      <c r="B23" s="6"/>
      <c r="C23" s="6"/>
      <c r="D23" s="12"/>
      <c r="E23" s="12"/>
    </row>
    <row r="24" spans="1:9" s="8" customFormat="1" ht="14.25" customHeight="1" x14ac:dyDescent="0.15">
      <c r="A24" s="13" t="s">
        <v>50</v>
      </c>
      <c r="B24" s="13"/>
      <c r="C24" s="13"/>
      <c r="D24" s="12"/>
      <c r="E24" s="12"/>
      <c r="I24" s="3"/>
    </row>
    <row r="25" spans="1:9" ht="4.5" customHeight="1" x14ac:dyDescent="0.15">
      <c r="A25" s="6"/>
      <c r="B25" s="6"/>
      <c r="C25" s="6"/>
      <c r="D25" s="12"/>
      <c r="E25" s="12"/>
    </row>
    <row r="26" spans="1:9" s="7" customFormat="1" ht="14.25" customHeight="1" x14ac:dyDescent="0.15">
      <c r="A26" s="10"/>
      <c r="B26" s="10" t="s">
        <v>51</v>
      </c>
      <c r="C26" s="10"/>
      <c r="D26" s="12">
        <v>0.21</v>
      </c>
      <c r="E26" s="12">
        <v>0.13</v>
      </c>
      <c r="I26" s="3"/>
    </row>
    <row r="27" spans="1:9" ht="4.5" customHeight="1" x14ac:dyDescent="0.15">
      <c r="A27" s="6"/>
      <c r="B27" s="6"/>
      <c r="C27" s="6"/>
      <c r="D27" s="12"/>
      <c r="E27" s="12"/>
    </row>
    <row r="28" spans="1:9" s="9" customFormat="1" ht="14.25" customHeight="1" x14ac:dyDescent="0.15">
      <c r="A28" s="14"/>
      <c r="B28" s="14" t="s">
        <v>52</v>
      </c>
      <c r="C28" s="14"/>
      <c r="D28" s="12">
        <v>0.3</v>
      </c>
      <c r="E28" s="12">
        <v>0.1</v>
      </c>
      <c r="I28" s="3"/>
    </row>
    <row r="29" spans="1:9" ht="4.5" customHeight="1" x14ac:dyDescent="0.15">
      <c r="A29" s="6"/>
      <c r="B29" s="6"/>
      <c r="C29" s="6"/>
      <c r="D29" s="12"/>
      <c r="E29" s="12"/>
    </row>
    <row r="30" spans="1:9" ht="14.25" customHeight="1" x14ac:dyDescent="0.15">
      <c r="A30" s="6"/>
      <c r="B30" s="6" t="s">
        <v>53</v>
      </c>
      <c r="C30" s="6"/>
      <c r="D30" s="12">
        <v>0.27</v>
      </c>
      <c r="E30" s="12">
        <v>0.17</v>
      </c>
    </row>
    <row r="31" spans="1:9" ht="4.5" customHeight="1" x14ac:dyDescent="0.15">
      <c r="A31" s="6"/>
      <c r="B31" s="6"/>
      <c r="C31" s="6"/>
      <c r="D31" s="12"/>
      <c r="E31" s="12"/>
    </row>
    <row r="32" spans="1:9" s="7" customFormat="1" ht="14.25" customHeight="1" x14ac:dyDescent="0.15">
      <c r="A32" s="10"/>
      <c r="B32" s="10" t="s">
        <v>54</v>
      </c>
      <c r="C32" s="10"/>
      <c r="D32" s="12">
        <v>0.12</v>
      </c>
      <c r="E32" s="12">
        <v>0.18</v>
      </c>
      <c r="I32" s="3"/>
    </row>
    <row r="33" spans="1:9" s="7" customFormat="1" ht="4.5" customHeight="1" x14ac:dyDescent="0.15">
      <c r="A33" s="10"/>
      <c r="B33" s="10"/>
      <c r="C33" s="10"/>
      <c r="D33" s="12"/>
      <c r="E33" s="12"/>
      <c r="I33" s="3"/>
    </row>
    <row r="34" spans="1:9" s="7" customFormat="1" ht="14.25" customHeight="1" x14ac:dyDescent="0.15">
      <c r="A34" s="10"/>
      <c r="B34" s="10" t="s">
        <v>55</v>
      </c>
      <c r="C34" s="10"/>
      <c r="D34" s="12">
        <v>0.08</v>
      </c>
      <c r="E34" s="12">
        <v>0.25</v>
      </c>
    </row>
    <row r="35" spans="1:9" ht="4.5" customHeight="1" x14ac:dyDescent="0.15">
      <c r="A35" s="6"/>
      <c r="B35" s="6"/>
      <c r="C35" s="6"/>
      <c r="D35" s="12"/>
      <c r="E35" s="12"/>
    </row>
    <row r="36" spans="1:9" s="8" customFormat="1" ht="14.25" customHeight="1" x14ac:dyDescent="0.15">
      <c r="A36" s="13"/>
      <c r="B36" s="13" t="s">
        <v>56</v>
      </c>
      <c r="C36" s="13"/>
      <c r="D36" s="12">
        <v>0.01</v>
      </c>
      <c r="E36" s="12">
        <v>0.17</v>
      </c>
    </row>
    <row r="37" spans="1:9" ht="4.5" customHeight="1" x14ac:dyDescent="0.15">
      <c r="A37" s="6"/>
      <c r="B37" s="6"/>
      <c r="C37" s="6"/>
      <c r="D37" s="12"/>
      <c r="E37" s="12"/>
    </row>
    <row r="38" spans="1:9" s="7" customFormat="1" ht="14.25" customHeight="1" x14ac:dyDescent="0.15">
      <c r="A38" s="15" t="s">
        <v>39</v>
      </c>
      <c r="B38" s="15"/>
      <c r="C38" s="15"/>
      <c r="D38" s="16">
        <v>9861</v>
      </c>
      <c r="E38" s="16"/>
    </row>
    <row r="39" spans="1:9" ht="4.5" customHeight="1" x14ac:dyDescent="0.15">
      <c r="A39" s="6"/>
      <c r="B39" s="6"/>
      <c r="C39" s="6"/>
      <c r="D39" s="17"/>
      <c r="E39" s="17"/>
    </row>
    <row r="40" spans="1:9" ht="30" customHeight="1" x14ac:dyDescent="0.15">
      <c r="A40" s="351" t="s">
        <v>193</v>
      </c>
      <c r="B40" s="351"/>
      <c r="C40" s="351"/>
      <c r="D40" s="351"/>
      <c r="E40" s="351"/>
    </row>
  </sheetData>
  <mergeCells count="2">
    <mergeCell ref="A1:E1"/>
    <mergeCell ref="A40:E40"/>
  </mergeCells>
  <phoneticPr fontId="37" type="noConversion"/>
  <printOptions horizontalCentered="1" verticalCentered="1"/>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3:BQ105"/>
  <sheetViews>
    <sheetView topLeftCell="A96" zoomScale="75" zoomScaleNormal="75" zoomScalePageLayoutView="75" workbookViewId="0">
      <selection activeCell="B106" sqref="B106"/>
    </sheetView>
  </sheetViews>
  <sheetFormatPr baseColWidth="10" defaultColWidth="10.83203125" defaultRowHeight="14" x14ac:dyDescent="0.15"/>
  <cols>
    <col min="1" max="1" width="10.83203125" style="3"/>
    <col min="2" max="2" width="11.33203125" style="3" customWidth="1"/>
    <col min="3" max="3" width="13.1640625" style="5" customWidth="1"/>
    <col min="4" max="4" width="21" style="5" customWidth="1"/>
    <col min="5" max="5" width="10.6640625" style="5" customWidth="1"/>
    <col min="6" max="6" width="9.83203125" style="5" customWidth="1"/>
    <col min="7" max="7" width="17" style="5" customWidth="1"/>
    <col min="8" max="8" width="13.83203125" style="5" customWidth="1"/>
    <col min="9" max="9" width="9" style="5" customWidth="1"/>
    <col min="10" max="10" width="35.33203125" style="5" customWidth="1"/>
    <col min="11" max="11" width="15.5" style="5" customWidth="1"/>
    <col min="12" max="12" width="14.83203125" style="5" customWidth="1"/>
    <col min="13" max="14" width="10.83203125" style="3"/>
    <col min="15" max="19" width="10.83203125" style="202"/>
    <col min="20" max="20" width="10.83203125" style="201"/>
    <col min="21" max="24" width="10.83203125" style="214"/>
    <col min="25" max="29" width="10.83203125" style="214" customWidth="1"/>
    <col min="30" max="30" width="14.5" style="214" customWidth="1"/>
    <col min="31" max="31" width="10.83203125" style="201" customWidth="1"/>
    <col min="32" max="33" width="12.33203125" style="264" customWidth="1"/>
    <col min="34" max="34" width="20.6640625" style="265" customWidth="1"/>
    <col min="35" max="35" width="9.5" style="214" customWidth="1"/>
    <col min="36" max="36" width="21.83203125" style="265" customWidth="1"/>
    <col min="37" max="37" width="8.83203125" style="299" customWidth="1"/>
    <col min="38" max="38" width="7.5" style="266" customWidth="1"/>
    <col min="39" max="39" width="16" style="265" customWidth="1"/>
    <col min="40" max="40" width="7.5" style="214" customWidth="1"/>
    <col min="41" max="41" width="19.5" style="265" customWidth="1"/>
    <col min="42" max="42" width="7.5" style="266" customWidth="1"/>
    <col min="43" max="43" width="10.83203125" style="245" customWidth="1"/>
    <col min="44" max="44" width="19.83203125" style="245" customWidth="1"/>
    <col min="45" max="45" width="8.33203125" style="243" customWidth="1"/>
    <col min="46" max="46" width="24" style="245" customWidth="1"/>
    <col min="47" max="48" width="8.33203125" style="243" customWidth="1"/>
    <col min="49" max="49" width="10.83203125" style="245" customWidth="1"/>
    <col min="50" max="50" width="8.33203125" style="243" customWidth="1"/>
    <col min="51" max="51" width="16" style="245" customWidth="1"/>
    <col min="52" max="52" width="10.83203125" style="243" customWidth="1"/>
    <col min="53" max="53" width="12.1640625" style="243" customWidth="1"/>
    <col min="54" max="54" width="20.5" style="265" customWidth="1"/>
    <col min="55" max="55" width="10.83203125" style="245" customWidth="1"/>
    <col min="56" max="56" width="22.1640625" style="265" customWidth="1"/>
    <col min="57" max="57" width="11.5" style="299" customWidth="1"/>
    <col min="58" max="58" width="10.83203125" style="245" customWidth="1"/>
    <col min="59" max="59" width="28.83203125" style="245" customWidth="1"/>
    <col min="60" max="60" width="10.83203125" style="243"/>
    <col min="61" max="61" width="29.1640625" style="245" customWidth="1"/>
    <col min="62" max="62" width="10.83203125" style="266"/>
    <col min="63" max="63" width="10.83203125" style="300"/>
    <col min="64" max="64" width="17.83203125" style="245" customWidth="1"/>
    <col min="65" max="65" width="10.83203125" style="243"/>
    <col min="66" max="66" width="10.83203125" style="245"/>
    <col min="67" max="67" width="10.83203125" style="243"/>
    <col min="68" max="68" width="13.33203125" style="245" customWidth="1"/>
    <col min="69" max="69" width="10.83203125" style="266"/>
    <col min="70" max="16384" width="10.83203125" style="245"/>
  </cols>
  <sheetData>
    <row r="3" spans="1:69" ht="16" x14ac:dyDescent="0.15">
      <c r="B3" s="314" t="s">
        <v>666</v>
      </c>
      <c r="C3" s="314"/>
      <c r="D3" s="314"/>
      <c r="E3" s="314"/>
      <c r="F3" s="314"/>
      <c r="G3" s="314"/>
      <c r="H3" s="314"/>
      <c r="I3" s="314"/>
      <c r="J3" s="314"/>
      <c r="K3" s="314"/>
      <c r="L3" s="314"/>
      <c r="O3" s="202" t="s">
        <v>1022</v>
      </c>
    </row>
    <row r="4" spans="1:69" s="244" customFormat="1" ht="57" customHeight="1" x14ac:dyDescent="0.15">
      <c r="A4" s="4"/>
      <c r="B4" s="296" t="s">
        <v>83</v>
      </c>
      <c r="C4" s="296" t="s">
        <v>198</v>
      </c>
      <c r="D4" s="296" t="s">
        <v>218</v>
      </c>
      <c r="E4" s="296" t="s">
        <v>287</v>
      </c>
      <c r="F4" s="296" t="s">
        <v>131</v>
      </c>
      <c r="G4" s="296" t="s">
        <v>220</v>
      </c>
      <c r="H4" s="296" t="s">
        <v>222</v>
      </c>
      <c r="I4" s="296" t="s">
        <v>210</v>
      </c>
      <c r="J4" s="296" t="s">
        <v>128</v>
      </c>
      <c r="K4" s="296" t="s">
        <v>228</v>
      </c>
      <c r="L4" s="296" t="s">
        <v>229</v>
      </c>
      <c r="M4" s="4"/>
      <c r="N4" s="4"/>
      <c r="O4" s="212" t="s">
        <v>816</v>
      </c>
      <c r="P4" s="212" t="s">
        <v>817</v>
      </c>
      <c r="Q4" s="203" t="s">
        <v>818</v>
      </c>
      <c r="R4" s="212" t="s">
        <v>819</v>
      </c>
      <c r="S4" s="212" t="s">
        <v>820</v>
      </c>
      <c r="T4" s="203" t="s">
        <v>821</v>
      </c>
      <c r="U4" s="205" t="s">
        <v>822</v>
      </c>
      <c r="V4" s="205" t="s">
        <v>823</v>
      </c>
      <c r="W4" s="205" t="s">
        <v>824</v>
      </c>
      <c r="X4" s="205" t="s">
        <v>825</v>
      </c>
      <c r="Y4" s="205" t="s">
        <v>826</v>
      </c>
      <c r="Z4" s="205" t="s">
        <v>827</v>
      </c>
      <c r="AA4" s="204" t="s">
        <v>212</v>
      </c>
      <c r="AB4" s="205" t="s">
        <v>828</v>
      </c>
      <c r="AC4" s="205" t="s">
        <v>1006</v>
      </c>
      <c r="AD4" s="205" t="s">
        <v>1007</v>
      </c>
      <c r="AE4" s="209" t="s">
        <v>953</v>
      </c>
      <c r="AF4" s="267" t="s">
        <v>997</v>
      </c>
      <c r="AG4" s="267"/>
      <c r="AH4" s="268"/>
      <c r="AI4" s="215"/>
      <c r="AJ4" s="268"/>
      <c r="AK4" s="301"/>
      <c r="AL4" s="269"/>
      <c r="AM4" s="268"/>
      <c r="AN4" s="215"/>
      <c r="AO4" s="268"/>
      <c r="AP4" s="269"/>
      <c r="AS4" s="270"/>
      <c r="AU4" s="270"/>
      <c r="AV4" s="270"/>
      <c r="AX4" s="270"/>
      <c r="AZ4" s="270"/>
      <c r="BA4" s="270"/>
      <c r="BB4" s="268"/>
      <c r="BD4" s="268"/>
      <c r="BE4" s="301"/>
      <c r="BH4" s="270"/>
      <c r="BJ4" s="269"/>
      <c r="BK4" s="302"/>
      <c r="BM4" s="270"/>
      <c r="BO4" s="270"/>
      <c r="BQ4" s="269"/>
    </row>
    <row r="5" spans="1:69" x14ac:dyDescent="0.15">
      <c r="B5" s="298" t="s">
        <v>57</v>
      </c>
      <c r="C5" s="298" t="s">
        <v>58</v>
      </c>
      <c r="D5" s="298" t="s">
        <v>59</v>
      </c>
      <c r="E5" s="298" t="s">
        <v>60</v>
      </c>
      <c r="F5" s="298" t="s">
        <v>91</v>
      </c>
      <c r="G5" s="298" t="s">
        <v>95</v>
      </c>
      <c r="H5" s="298" t="s">
        <v>171</v>
      </c>
      <c r="I5" s="298" t="s">
        <v>172</v>
      </c>
      <c r="J5" s="298" t="s">
        <v>661</v>
      </c>
      <c r="K5" s="298" t="s">
        <v>664</v>
      </c>
      <c r="L5" s="298" t="s">
        <v>665</v>
      </c>
    </row>
    <row r="6" spans="1:69" ht="32.25" customHeight="1" x14ac:dyDescent="0.15">
      <c r="B6" s="353" t="s">
        <v>86</v>
      </c>
      <c r="C6" s="353" t="s">
        <v>203</v>
      </c>
      <c r="D6" s="294" t="s">
        <v>219</v>
      </c>
      <c r="E6" s="294" t="s">
        <v>288</v>
      </c>
      <c r="F6" s="294">
        <v>1800</v>
      </c>
      <c r="G6" s="294" t="s">
        <v>221</v>
      </c>
      <c r="H6" s="294" t="s">
        <v>223</v>
      </c>
      <c r="I6" s="135" t="s">
        <v>224</v>
      </c>
      <c r="J6" s="135" t="s">
        <v>230</v>
      </c>
      <c r="K6" s="135" t="s">
        <v>582</v>
      </c>
      <c r="L6" s="135" t="s">
        <v>583</v>
      </c>
      <c r="O6" s="213">
        <v>28.4</v>
      </c>
      <c r="P6" s="213">
        <v>13.92</v>
      </c>
      <c r="Q6" s="206">
        <v>40</v>
      </c>
      <c r="R6" s="213">
        <v>23.07</v>
      </c>
      <c r="S6" s="213">
        <v>14.72</v>
      </c>
      <c r="T6" s="206">
        <v>40</v>
      </c>
      <c r="U6" s="207">
        <f t="shared" ref="U6:U34" si="0">R6-O6</f>
        <v>-5.3299999999999983</v>
      </c>
      <c r="V6" s="207">
        <f t="shared" ref="V6:V24" si="1">U6/O6</f>
        <v>-0.18767605633802811</v>
      </c>
      <c r="W6" s="207">
        <f t="shared" ref="W6:W24" si="2">U6/P6</f>
        <v>-0.38290229885057459</v>
      </c>
      <c r="X6" s="207">
        <f t="shared" ref="X6:X24" si="3">SQRT(((Q6-1)*P6^2 + (T6-1)*S6^2)/(Q6+T6-2))</f>
        <v>14.325585502868634</v>
      </c>
      <c r="Y6" s="207">
        <f t="shared" ref="Y6:Y24" si="4">SQRT(P6^2/Q6 + S6^2/T6)</f>
        <v>3.203298300189978</v>
      </c>
      <c r="Z6" s="207">
        <f t="shared" ref="Z6:Z34" si="5">U6/Y6</f>
        <v>-1.6639099766899299</v>
      </c>
      <c r="AA6" s="208">
        <f t="shared" ref="AA6:AA34" si="6">U6/X6</f>
        <v>-0.37206158163187741</v>
      </c>
      <c r="AB6" s="207">
        <f t="shared" ref="AB6:AB24" si="7">SQRT(((Q6+T6)/(Q6*T6)) + ((AA6^2)/(Q6+T6-2)))</f>
        <v>0.22754063656586748</v>
      </c>
      <c r="AC6" s="207">
        <f>1/AB6^2</f>
        <v>19.314437409198952</v>
      </c>
      <c r="AD6" s="303">
        <f>AC6/SUM($AC$6:$AC$13)</f>
        <v>6.0332313411198275E-2</v>
      </c>
      <c r="AE6" s="206">
        <v>1800</v>
      </c>
      <c r="AF6" s="264">
        <f>AE6/SUM($AE$6:$AE$13)</f>
        <v>0.48348106365834004</v>
      </c>
    </row>
    <row r="7" spans="1:69" ht="32.25" customHeight="1" x14ac:dyDescent="0.15">
      <c r="B7" s="318"/>
      <c r="C7" s="318"/>
      <c r="D7" s="294" t="s">
        <v>219</v>
      </c>
      <c r="E7" s="294" t="s">
        <v>288</v>
      </c>
      <c r="F7" s="294">
        <v>1800</v>
      </c>
      <c r="G7" s="294" t="s">
        <v>225</v>
      </c>
      <c r="H7" s="294" t="s">
        <v>226</v>
      </c>
      <c r="I7" s="135" t="s">
        <v>227</v>
      </c>
      <c r="J7" s="135" t="s">
        <v>231</v>
      </c>
      <c r="K7" s="135" t="s">
        <v>444</v>
      </c>
      <c r="L7" s="135" t="s">
        <v>584</v>
      </c>
      <c r="O7" s="213">
        <v>238.67</v>
      </c>
      <c r="P7" s="213">
        <v>165.77</v>
      </c>
      <c r="Q7" s="206">
        <v>30</v>
      </c>
      <c r="R7" s="213">
        <v>153.66999999999999</v>
      </c>
      <c r="S7" s="213">
        <v>143.15</v>
      </c>
      <c r="T7" s="206">
        <v>30</v>
      </c>
      <c r="U7" s="207">
        <f t="shared" si="0"/>
        <v>-85</v>
      </c>
      <c r="V7" s="207">
        <f t="shared" si="1"/>
        <v>-0.3561402773704278</v>
      </c>
      <c r="W7" s="207">
        <f t="shared" si="2"/>
        <v>-0.51275864149122274</v>
      </c>
      <c r="X7" s="207">
        <f t="shared" si="3"/>
        <v>154.87352162329105</v>
      </c>
      <c r="Y7" s="207">
        <f t="shared" si="4"/>
        <v>39.988171334366697</v>
      </c>
      <c r="Z7" s="207">
        <f t="shared" si="5"/>
        <v>-2.1256285837444424</v>
      </c>
      <c r="AA7" s="208">
        <f t="shared" si="6"/>
        <v>-0.54883494033764557</v>
      </c>
      <c r="AB7" s="207">
        <f t="shared" si="7"/>
        <v>0.26806736345881466</v>
      </c>
      <c r="AC7" s="207">
        <f t="shared" ref="AC7:AC70" si="8">1/AB7^2</f>
        <v>13.915926112400948</v>
      </c>
      <c r="AD7" s="303">
        <f t="shared" ref="AD7:AD13" si="9">AC7/SUM($AC$6:$AC$13)</f>
        <v>4.3469038099995728E-2</v>
      </c>
      <c r="AE7" s="206">
        <v>1800</v>
      </c>
      <c r="AF7" s="264">
        <f t="shared" ref="AF7:AF13" si="10">AE7/SUM($AE$6:$AE$13)</f>
        <v>0.48348106365834004</v>
      </c>
    </row>
    <row r="8" spans="1:69" ht="32.25" customHeight="1" x14ac:dyDescent="0.15">
      <c r="B8" s="318"/>
      <c r="C8" s="318"/>
      <c r="D8" s="294" t="s">
        <v>676</v>
      </c>
      <c r="E8" s="294" t="s">
        <v>289</v>
      </c>
      <c r="F8" s="294">
        <v>13</v>
      </c>
      <c r="G8" s="294" t="s">
        <v>243</v>
      </c>
      <c r="H8" s="294" t="s">
        <v>242</v>
      </c>
      <c r="I8" s="135" t="s">
        <v>246</v>
      </c>
      <c r="J8" s="135" t="s">
        <v>247</v>
      </c>
      <c r="K8" s="135" t="s">
        <v>445</v>
      </c>
      <c r="L8" s="135" t="s">
        <v>585</v>
      </c>
      <c r="O8" s="213">
        <f>19/250</f>
        <v>7.5999999999999998E-2</v>
      </c>
      <c r="P8" s="213">
        <f>SQRT(O8*(1-O8))</f>
        <v>0.26499811320083017</v>
      </c>
      <c r="Q8" s="206">
        <v>250</v>
      </c>
      <c r="R8" s="213">
        <f>8/250</f>
        <v>3.2000000000000001E-2</v>
      </c>
      <c r="S8" s="213">
        <f>SQRT(R8*(1-R8))</f>
        <v>0.17599999999999999</v>
      </c>
      <c r="T8" s="206">
        <v>250</v>
      </c>
      <c r="U8" s="207">
        <f t="shared" si="0"/>
        <v>-4.3999999999999997E-2</v>
      </c>
      <c r="V8" s="207">
        <f t="shared" si="1"/>
        <v>-0.57894736842105265</v>
      </c>
      <c r="W8" s="207">
        <f t="shared" si="2"/>
        <v>-0.16603891804563292</v>
      </c>
      <c r="X8" s="207">
        <f t="shared" si="3"/>
        <v>0.22494443758403984</v>
      </c>
      <c r="Y8" s="207">
        <f t="shared" si="4"/>
        <v>2.0119642143934868E-2</v>
      </c>
      <c r="Z8" s="207">
        <f t="shared" si="5"/>
        <v>-2.186917624340746</v>
      </c>
      <c r="AA8" s="208">
        <f t="shared" si="6"/>
        <v>-0.19560385876873029</v>
      </c>
      <c r="AB8" s="207">
        <f t="shared" si="7"/>
        <v>8.9871180338036302E-2</v>
      </c>
      <c r="AC8" s="207">
        <f t="shared" si="8"/>
        <v>123.81096506399167</v>
      </c>
      <c r="AD8" s="303">
        <f t="shared" si="9"/>
        <v>0.38674706333543002</v>
      </c>
      <c r="AE8" s="206">
        <v>13</v>
      </c>
      <c r="AF8" s="264">
        <f t="shared" si="10"/>
        <v>3.4918076819769003E-3</v>
      </c>
    </row>
    <row r="9" spans="1:69" ht="32.25" customHeight="1" x14ac:dyDescent="0.15">
      <c r="B9" s="318"/>
      <c r="C9" s="318"/>
      <c r="D9" s="294" t="s">
        <v>794</v>
      </c>
      <c r="E9" s="294" t="s">
        <v>290</v>
      </c>
      <c r="F9" s="294">
        <v>2</v>
      </c>
      <c r="G9" s="294" t="s">
        <v>244</v>
      </c>
      <c r="H9" s="294" t="s">
        <v>245</v>
      </c>
      <c r="I9" s="135" t="s">
        <v>248</v>
      </c>
      <c r="J9" s="135" t="s">
        <v>296</v>
      </c>
      <c r="K9" s="135" t="s">
        <v>446</v>
      </c>
      <c r="L9" s="135" t="s">
        <v>586</v>
      </c>
      <c r="O9" s="213">
        <v>0.24129999999999999</v>
      </c>
      <c r="P9" s="213">
        <v>0.42799999999999999</v>
      </c>
      <c r="Q9" s="206">
        <v>29</v>
      </c>
      <c r="R9" s="213">
        <v>0.4</v>
      </c>
      <c r="S9" s="213">
        <v>0.49</v>
      </c>
      <c r="T9" s="206">
        <v>30</v>
      </c>
      <c r="U9" s="207">
        <f t="shared" si="0"/>
        <v>0.15870000000000004</v>
      </c>
      <c r="V9" s="207">
        <f t="shared" si="1"/>
        <v>0.65768752590136781</v>
      </c>
      <c r="W9" s="207">
        <f t="shared" si="2"/>
        <v>0.3707943925233646</v>
      </c>
      <c r="X9" s="207">
        <f t="shared" si="3"/>
        <v>0.46058795376984701</v>
      </c>
      <c r="Y9" s="207">
        <f t="shared" si="4"/>
        <v>0.11966629846579924</v>
      </c>
      <c r="Z9" s="207">
        <f t="shared" si="5"/>
        <v>1.3261879245421524</v>
      </c>
      <c r="AA9" s="208">
        <f t="shared" si="6"/>
        <v>0.34455959757753774</v>
      </c>
      <c r="AB9" s="207">
        <f t="shared" si="7"/>
        <v>0.26438404275645583</v>
      </c>
      <c r="AC9" s="207">
        <f t="shared" si="8"/>
        <v>14.306372265381317</v>
      </c>
      <c r="AD9" s="303">
        <f t="shared" si="9"/>
        <v>4.4688670811668135E-2</v>
      </c>
      <c r="AE9" s="206">
        <v>2</v>
      </c>
      <c r="AF9" s="264">
        <f t="shared" si="10"/>
        <v>5.3720118184260007E-4</v>
      </c>
    </row>
    <row r="10" spans="1:69" ht="32.25" customHeight="1" x14ac:dyDescent="0.15">
      <c r="B10" s="318"/>
      <c r="C10" s="318"/>
      <c r="D10" s="294" t="s">
        <v>249</v>
      </c>
      <c r="E10" s="294" t="s">
        <v>293</v>
      </c>
      <c r="F10" s="294">
        <v>3</v>
      </c>
      <c r="G10" s="294" t="s">
        <v>250</v>
      </c>
      <c r="H10" s="140" t="s">
        <v>271</v>
      </c>
      <c r="I10" s="135" t="s">
        <v>251</v>
      </c>
      <c r="J10" s="135" t="s">
        <v>297</v>
      </c>
      <c r="K10" s="135" t="s">
        <v>447</v>
      </c>
      <c r="L10" s="135" t="s">
        <v>587</v>
      </c>
      <c r="O10" s="213">
        <v>17</v>
      </c>
      <c r="P10" s="213">
        <v>8.1999999999999993</v>
      </c>
      <c r="Q10" s="206">
        <v>58</v>
      </c>
      <c r="R10" s="213">
        <v>21.8</v>
      </c>
      <c r="S10" s="213">
        <v>10.1</v>
      </c>
      <c r="T10" s="206">
        <v>58</v>
      </c>
      <c r="U10" s="207">
        <f t="shared" si="0"/>
        <v>4.8000000000000007</v>
      </c>
      <c r="V10" s="207">
        <f t="shared" si="1"/>
        <v>0.28235294117647064</v>
      </c>
      <c r="W10" s="207">
        <f t="shared" si="2"/>
        <v>0.58536585365853677</v>
      </c>
      <c r="X10" s="207">
        <f t="shared" si="3"/>
        <v>9.1991847464870489</v>
      </c>
      <c r="Y10" s="207">
        <f t="shared" si="4"/>
        <v>1.7082457224520897</v>
      </c>
      <c r="Z10" s="207">
        <f t="shared" si="5"/>
        <v>2.8099002016582681</v>
      </c>
      <c r="AA10" s="208">
        <f t="shared" si="6"/>
        <v>0.52178536819069832</v>
      </c>
      <c r="AB10" s="207">
        <f t="shared" si="7"/>
        <v>0.1920182386534767</v>
      </c>
      <c r="AC10" s="207">
        <f t="shared" si="8"/>
        <v>27.121583145992265</v>
      </c>
      <c r="AD10" s="303">
        <f t="shared" si="9"/>
        <v>8.4719415839290685E-2</v>
      </c>
      <c r="AE10" s="206">
        <v>3</v>
      </c>
      <c r="AF10" s="264">
        <f t="shared" si="10"/>
        <v>8.0580177276390005E-4</v>
      </c>
    </row>
    <row r="11" spans="1:69" ht="32.25" customHeight="1" x14ac:dyDescent="0.15">
      <c r="B11" s="318"/>
      <c r="C11" s="318"/>
      <c r="D11" s="294" t="s">
        <v>252</v>
      </c>
      <c r="E11" s="294" t="s">
        <v>793</v>
      </c>
      <c r="F11" s="294">
        <v>67</v>
      </c>
      <c r="G11" s="294" t="s">
        <v>253</v>
      </c>
      <c r="H11" s="294" t="s">
        <v>254</v>
      </c>
      <c r="I11" s="135" t="s">
        <v>255</v>
      </c>
      <c r="J11" s="135" t="s">
        <v>298</v>
      </c>
      <c r="K11" s="135" t="s">
        <v>448</v>
      </c>
      <c r="L11" s="135" t="s">
        <v>588</v>
      </c>
      <c r="O11" s="213">
        <v>6.9290000000000003</v>
      </c>
      <c r="P11" s="213">
        <f>1.123*SQRT(Q11)</f>
        <v>16.351126811324043</v>
      </c>
      <c r="Q11" s="206">
        <v>212</v>
      </c>
      <c r="R11" s="213">
        <f>O11+0.378</f>
        <v>7.3070000000000004</v>
      </c>
      <c r="S11" s="213">
        <f>SQRT((1.528^2-(P11^2/Q11))*T11)</f>
        <v>13.978741359650376</v>
      </c>
      <c r="T11" s="206">
        <v>182</v>
      </c>
      <c r="U11" s="207">
        <f t="shared" si="0"/>
        <v>0.37800000000000011</v>
      </c>
      <c r="V11" s="207">
        <f t="shared" si="1"/>
        <v>5.4553326598354754E-2</v>
      </c>
      <c r="W11" s="207">
        <f t="shared" si="2"/>
        <v>2.3117672828408046E-2</v>
      </c>
      <c r="X11" s="207">
        <f t="shared" si="3"/>
        <v>15.301490976939043</v>
      </c>
      <c r="Y11" s="207">
        <f t="shared" si="4"/>
        <v>1.528</v>
      </c>
      <c r="Z11" s="207">
        <f t="shared" si="5"/>
        <v>0.24738219895287966</v>
      </c>
      <c r="AA11" s="208">
        <f t="shared" si="6"/>
        <v>2.4703475012316504E-2</v>
      </c>
      <c r="AB11" s="207">
        <f t="shared" si="7"/>
        <v>0.1010596032872436</v>
      </c>
      <c r="AC11" s="207">
        <f t="shared" si="8"/>
        <v>97.914006551374271</v>
      </c>
      <c r="AD11" s="303">
        <f t="shared" si="9"/>
        <v>0.3058529951170158</v>
      </c>
      <c r="AE11" s="206">
        <v>67</v>
      </c>
      <c r="AF11" s="264">
        <f t="shared" si="10"/>
        <v>1.7996239591727102E-2</v>
      </c>
    </row>
    <row r="12" spans="1:69" ht="32.25" customHeight="1" x14ac:dyDescent="0.15">
      <c r="B12" s="318"/>
      <c r="C12" s="318"/>
      <c r="D12" s="295" t="s">
        <v>256</v>
      </c>
      <c r="E12" s="295" t="s">
        <v>291</v>
      </c>
      <c r="F12" s="295">
        <v>19</v>
      </c>
      <c r="G12" s="295" t="s">
        <v>258</v>
      </c>
      <c r="H12" s="295" t="s">
        <v>257</v>
      </c>
      <c r="I12" s="148" t="s">
        <v>259</v>
      </c>
      <c r="J12" s="148" t="s">
        <v>299</v>
      </c>
      <c r="K12" s="148" t="s">
        <v>449</v>
      </c>
      <c r="L12" s="148" t="s">
        <v>589</v>
      </c>
      <c r="O12" s="213">
        <v>24.21</v>
      </c>
      <c r="P12" s="213">
        <v>7.02</v>
      </c>
      <c r="Q12" s="206">
        <v>24</v>
      </c>
      <c r="R12" s="213">
        <v>22.32</v>
      </c>
      <c r="S12" s="213">
        <v>4.0599999999999996</v>
      </c>
      <c r="T12" s="206">
        <v>25</v>
      </c>
      <c r="U12" s="207">
        <f t="shared" si="0"/>
        <v>-1.8900000000000006</v>
      </c>
      <c r="V12" s="207">
        <f t="shared" si="1"/>
        <v>-7.8066914498141279E-2</v>
      </c>
      <c r="W12" s="207">
        <f t="shared" si="2"/>
        <v>-0.26923076923076933</v>
      </c>
      <c r="X12" s="207">
        <f t="shared" si="3"/>
        <v>5.7037792622383643</v>
      </c>
      <c r="Y12" s="207">
        <f t="shared" si="4"/>
        <v>1.6470258042908736</v>
      </c>
      <c r="Z12" s="207">
        <f t="shared" si="5"/>
        <v>-1.1475230048467513</v>
      </c>
      <c r="AA12" s="208">
        <f t="shared" si="6"/>
        <v>-0.33135924675638617</v>
      </c>
      <c r="AB12" s="207">
        <f t="shared" si="7"/>
        <v>0.28983239043928632</v>
      </c>
      <c r="AC12" s="207">
        <f t="shared" si="8"/>
        <v>11.904363030973871</v>
      </c>
      <c r="AD12" s="303">
        <f t="shared" si="9"/>
        <v>3.718553878267921E-2</v>
      </c>
      <c r="AE12" s="206">
        <v>19</v>
      </c>
      <c r="AF12" s="264">
        <f t="shared" si="10"/>
        <v>5.1034112275047004E-3</v>
      </c>
    </row>
    <row r="13" spans="1:69" ht="35.25" customHeight="1" x14ac:dyDescent="0.15">
      <c r="B13" s="317"/>
      <c r="C13" s="317"/>
      <c r="D13" s="157" t="s">
        <v>256</v>
      </c>
      <c r="E13" s="157" t="s">
        <v>291</v>
      </c>
      <c r="F13" s="157">
        <v>19</v>
      </c>
      <c r="G13" s="157" t="s">
        <v>258</v>
      </c>
      <c r="H13" s="157" t="s">
        <v>257</v>
      </c>
      <c r="I13" s="160" t="s">
        <v>260</v>
      </c>
      <c r="J13" s="160" t="s">
        <v>300</v>
      </c>
      <c r="K13" s="160" t="s">
        <v>450</v>
      </c>
      <c r="L13" s="160" t="s">
        <v>590</v>
      </c>
      <c r="O13" s="213">
        <v>20.29</v>
      </c>
      <c r="P13" s="213">
        <v>5.12</v>
      </c>
      <c r="Q13" s="206">
        <v>24</v>
      </c>
      <c r="R13" s="213">
        <v>21.54</v>
      </c>
      <c r="S13" s="213">
        <v>6.06</v>
      </c>
      <c r="T13" s="206">
        <v>24</v>
      </c>
      <c r="U13" s="207">
        <f t="shared" si="0"/>
        <v>1.25</v>
      </c>
      <c r="V13" s="207">
        <f t="shared" si="1"/>
        <v>6.1606702809265654E-2</v>
      </c>
      <c r="W13" s="207">
        <f t="shared" si="2"/>
        <v>0.244140625</v>
      </c>
      <c r="X13" s="207">
        <f t="shared" si="3"/>
        <v>5.6097237008608545</v>
      </c>
      <c r="Y13" s="207">
        <f t="shared" si="4"/>
        <v>1.619387744385719</v>
      </c>
      <c r="Z13" s="207">
        <f t="shared" si="5"/>
        <v>0.77189666547350677</v>
      </c>
      <c r="AA13" s="208">
        <f t="shared" si="6"/>
        <v>0.22282737379885181</v>
      </c>
      <c r="AB13" s="207">
        <f t="shared" si="7"/>
        <v>0.29053868154678486</v>
      </c>
      <c r="AC13" s="207">
        <f t="shared" si="8"/>
        <v>11.846555058772822</v>
      </c>
      <c r="AD13" s="303">
        <f t="shared" si="9"/>
        <v>3.7004964602722075E-2</v>
      </c>
      <c r="AE13" s="206">
        <v>19</v>
      </c>
      <c r="AF13" s="264">
        <f t="shared" si="10"/>
        <v>5.1034112275047004E-3</v>
      </c>
      <c r="AH13" s="265" t="s">
        <v>1008</v>
      </c>
      <c r="AI13" s="214">
        <f>SUMPRODUCT(AD6:AD13,AA6:AA13)</f>
        <v>-5.8871040040562171E-2</v>
      </c>
      <c r="AJ13" s="265" t="s">
        <v>1009</v>
      </c>
      <c r="AK13" s="299">
        <f>SQRT(SUMPRODUCT(AD6:AD13,AD6:AD13,AB6:AB13,AB6:AB13))</f>
        <v>5.5889980481474505E-2</v>
      </c>
      <c r="AM13" s="265" t="s">
        <v>998</v>
      </c>
      <c r="AN13" s="214">
        <f>SUMPRODUCT(AF6:AF13,AA6:AA13)</f>
        <v>-0.44542280074396329</v>
      </c>
      <c r="AO13" s="265" t="s">
        <v>999</v>
      </c>
      <c r="AP13" s="266">
        <f>SQRT(SUMPRODUCT(AF6:AF13,AF6:AF13,AB6:AB13,AB6:AB13))</f>
        <v>0.17002344066932049</v>
      </c>
      <c r="AR13" s="265" t="s">
        <v>1000</v>
      </c>
      <c r="AS13" s="266">
        <f>AA14</f>
        <v>0.52064460277707258</v>
      </c>
      <c r="AT13" s="265" t="s">
        <v>1001</v>
      </c>
      <c r="AU13" s="266">
        <f>AB14</f>
        <v>6.2948490441619862E-2</v>
      </c>
      <c r="AV13" s="266"/>
      <c r="AW13" s="265" t="s">
        <v>1002</v>
      </c>
      <c r="AX13" s="266">
        <f>AA15</f>
        <v>0.1956012872311654</v>
      </c>
      <c r="AY13" s="265" t="s">
        <v>1003</v>
      </c>
      <c r="AZ13" s="266">
        <f>AB15</f>
        <v>6.1205762844296831E-2</v>
      </c>
      <c r="BB13" s="265" t="s">
        <v>1010</v>
      </c>
      <c r="BC13" s="266">
        <f>O14+AI13*X14</f>
        <v>1480.0674398985204</v>
      </c>
      <c r="BD13" s="265" t="s">
        <v>1011</v>
      </c>
      <c r="BE13" s="299">
        <f>X14*AK13</f>
        <v>38.859853393998776</v>
      </c>
      <c r="BG13" s="265" t="s">
        <v>1012</v>
      </c>
      <c r="BH13" s="243">
        <f>O14+AN13*X14</f>
        <v>1211.3011132560323</v>
      </c>
      <c r="BI13" s="265" t="s">
        <v>1013</v>
      </c>
      <c r="BJ13" s="266">
        <f>X14*AP13</f>
        <v>118.21592924232729</v>
      </c>
      <c r="BL13" s="265" t="s">
        <v>1014</v>
      </c>
      <c r="BM13" s="304">
        <v>262</v>
      </c>
      <c r="BN13" s="265" t="s">
        <v>1015</v>
      </c>
      <c r="BO13" s="243">
        <v>208</v>
      </c>
      <c r="BP13" s="305" t="s">
        <v>1016</v>
      </c>
      <c r="BQ13" s="266">
        <f>BM13/SQRT(BO13)</f>
        <v>18.166431426376256</v>
      </c>
    </row>
    <row r="14" spans="1:69" s="280" customFormat="1" ht="35.25" hidden="1" customHeight="1" x14ac:dyDescent="0.15">
      <c r="A14" s="271"/>
      <c r="B14" s="272"/>
      <c r="C14" s="272"/>
      <c r="D14" s="286" t="s">
        <v>1004</v>
      </c>
      <c r="E14" s="286"/>
      <c r="F14" s="286"/>
      <c r="G14" s="286"/>
      <c r="H14" s="286"/>
      <c r="I14" s="288"/>
      <c r="J14" s="288"/>
      <c r="K14" s="288"/>
      <c r="L14" s="288"/>
      <c r="M14" s="271"/>
      <c r="N14" s="271"/>
      <c r="O14" s="275">
        <v>1521</v>
      </c>
      <c r="P14" s="275">
        <f>31.22*SQRT(Q14)</f>
        <v>725.48724041157323</v>
      </c>
      <c r="Q14" s="276">
        <v>540</v>
      </c>
      <c r="R14" s="275">
        <v>1883</v>
      </c>
      <c r="S14" s="275">
        <f>28.61*SQRT(T14)</f>
        <v>663.60400074140603</v>
      </c>
      <c r="T14" s="276">
        <v>538</v>
      </c>
      <c r="U14" s="277">
        <f>R14-O14</f>
        <v>362</v>
      </c>
      <c r="V14" s="277">
        <f>U14/O14</f>
        <v>0.23800131492439186</v>
      </c>
      <c r="W14" s="277">
        <f>U14/P14</f>
        <v>0.49897500581076415</v>
      </c>
      <c r="X14" s="277">
        <f>SQRT(((Q14-1)*P14^2 + (T14-1)*S14^2)/(Q14+T14-2))</f>
        <v>695.29194784527442</v>
      </c>
      <c r="Y14" s="277">
        <f>SQRT(P14^2/Q14 + S14^2/T14)</f>
        <v>42.346434324509538</v>
      </c>
      <c r="Z14" s="277">
        <f>U14/Y14</f>
        <v>8.5485355679753035</v>
      </c>
      <c r="AA14" s="278">
        <f>U14/X14</f>
        <v>0.52064460277707258</v>
      </c>
      <c r="AB14" s="277">
        <f>SQRT(((Q14+T14)/(Q14*T14)) + ((AA14^2)/(Q14+T14-2)))</f>
        <v>6.2948490441619862E-2</v>
      </c>
      <c r="AC14" s="207"/>
      <c r="AD14" s="207"/>
      <c r="AE14" s="276"/>
      <c r="AF14" s="279"/>
      <c r="AG14" s="279"/>
      <c r="AH14" s="281"/>
      <c r="AI14" s="306"/>
      <c r="AJ14" s="281"/>
      <c r="AK14" s="307"/>
      <c r="AL14" s="282"/>
      <c r="AM14" s="281"/>
      <c r="AN14" s="306"/>
      <c r="AO14" s="281"/>
      <c r="AP14" s="282"/>
      <c r="AS14" s="283"/>
      <c r="AU14" s="283"/>
      <c r="AV14" s="283"/>
      <c r="AX14" s="283"/>
      <c r="AZ14" s="283"/>
      <c r="BA14" s="283"/>
      <c r="BB14" s="281"/>
      <c r="BD14" s="281"/>
      <c r="BE14" s="307"/>
      <c r="BH14" s="283"/>
      <c r="BJ14" s="282"/>
      <c r="BK14" s="308"/>
      <c r="BM14" s="283"/>
      <c r="BO14" s="283"/>
      <c r="BQ14" s="282"/>
    </row>
    <row r="15" spans="1:69" s="280" customFormat="1" ht="35.25" hidden="1" customHeight="1" x14ac:dyDescent="0.15">
      <c r="A15" s="271"/>
      <c r="B15" s="272"/>
      <c r="C15" s="272"/>
      <c r="D15" s="286" t="s">
        <v>1005</v>
      </c>
      <c r="E15" s="286"/>
      <c r="F15" s="286"/>
      <c r="G15" s="286"/>
      <c r="H15" s="286"/>
      <c r="I15" s="288"/>
      <c r="J15" s="288"/>
      <c r="K15" s="288"/>
      <c r="L15" s="288"/>
      <c r="M15" s="271"/>
      <c r="N15" s="271"/>
      <c r="O15" s="275">
        <v>1521</v>
      </c>
      <c r="P15" s="275">
        <f>31.22*SQRT(Q15)</f>
        <v>725.48724041157323</v>
      </c>
      <c r="Q15" s="276">
        <v>540</v>
      </c>
      <c r="R15" s="275">
        <v>1657</v>
      </c>
      <c r="S15" s="275">
        <f>28.61*SQRT(T15)</f>
        <v>663.60400074140603</v>
      </c>
      <c r="T15" s="276">
        <v>538</v>
      </c>
      <c r="U15" s="277">
        <f>R15-O15</f>
        <v>136</v>
      </c>
      <c r="V15" s="277">
        <f>U15/O15</f>
        <v>8.941485864562787E-2</v>
      </c>
      <c r="W15" s="277">
        <f>U15/P15</f>
        <v>0.18746022317752464</v>
      </c>
      <c r="X15" s="277">
        <f>SQRT(((Q15-1)*P15^2 + (T15-1)*S15^2)/(Q15+T15-2))</f>
        <v>695.29194784527442</v>
      </c>
      <c r="Y15" s="277">
        <f>SQRT(P15^2/Q15 + S15^2/T15)</f>
        <v>42.346434324509538</v>
      </c>
      <c r="Z15" s="277">
        <f>U15/Y15</f>
        <v>3.2116045227752519</v>
      </c>
      <c r="AA15" s="278">
        <f>U15/X15</f>
        <v>0.1956012872311654</v>
      </c>
      <c r="AB15" s="277">
        <f>SQRT(((Q15+T15)/(Q15*T15)) + ((AA15^2)/(Q15+T15-2)))</f>
        <v>6.1205762844296831E-2</v>
      </c>
      <c r="AC15" s="207"/>
      <c r="AD15" s="207"/>
      <c r="AE15" s="276"/>
      <c r="AF15" s="279"/>
      <c r="AG15" s="279"/>
      <c r="AH15" s="281"/>
      <c r="AI15" s="306"/>
      <c r="AJ15" s="281"/>
      <c r="AK15" s="307"/>
      <c r="AL15" s="282"/>
      <c r="AM15" s="281"/>
      <c r="AN15" s="306"/>
      <c r="AO15" s="281"/>
      <c r="AP15" s="282"/>
      <c r="AS15" s="283"/>
      <c r="AU15" s="283"/>
      <c r="AV15" s="283"/>
      <c r="AX15" s="283"/>
      <c r="AZ15" s="283"/>
      <c r="BA15" s="283"/>
      <c r="BB15" s="281"/>
      <c r="BD15" s="281"/>
      <c r="BE15" s="307"/>
      <c r="BH15" s="283"/>
      <c r="BJ15" s="282"/>
      <c r="BK15" s="308"/>
      <c r="BM15" s="283"/>
      <c r="BO15" s="283"/>
      <c r="BQ15" s="282"/>
    </row>
    <row r="16" spans="1:69" ht="25.5" customHeight="1" x14ac:dyDescent="0.15">
      <c r="B16" s="353" t="s">
        <v>5</v>
      </c>
      <c r="C16" s="353" t="s">
        <v>199</v>
      </c>
      <c r="D16" s="157" t="s">
        <v>264</v>
      </c>
      <c r="E16" s="157" t="s">
        <v>292</v>
      </c>
      <c r="F16" s="157">
        <v>37</v>
      </c>
      <c r="G16" s="157" t="s">
        <v>267</v>
      </c>
      <c r="H16" s="157" t="s">
        <v>270</v>
      </c>
      <c r="I16" s="159" t="s">
        <v>278</v>
      </c>
      <c r="J16" s="159" t="s">
        <v>301</v>
      </c>
      <c r="K16" s="159" t="s">
        <v>451</v>
      </c>
      <c r="L16" s="159" t="s">
        <v>591</v>
      </c>
      <c r="O16" s="213">
        <v>1.1399999999999999</v>
      </c>
      <c r="P16" s="213">
        <v>0.34</v>
      </c>
      <c r="Q16" s="206">
        <v>36</v>
      </c>
      <c r="R16" s="213">
        <v>1.51</v>
      </c>
      <c r="S16" s="213">
        <v>0.87</v>
      </c>
      <c r="T16" s="206">
        <v>38</v>
      </c>
      <c r="U16" s="207">
        <f t="shared" si="0"/>
        <v>0.37000000000000011</v>
      </c>
      <c r="V16" s="207">
        <f t="shared" si="1"/>
        <v>0.32456140350877205</v>
      </c>
      <c r="W16" s="207">
        <f t="shared" si="2"/>
        <v>1.0882352941176472</v>
      </c>
      <c r="X16" s="207">
        <f t="shared" si="3"/>
        <v>0.66720082767068312</v>
      </c>
      <c r="Y16" s="207">
        <f t="shared" si="4"/>
        <v>0.15208396418999173</v>
      </c>
      <c r="Z16" s="207">
        <f t="shared" si="5"/>
        <v>2.4328666205582041</v>
      </c>
      <c r="AA16" s="208">
        <f t="shared" si="6"/>
        <v>0.55455566698221281</v>
      </c>
      <c r="AB16" s="207">
        <f t="shared" si="7"/>
        <v>0.24158817201913368</v>
      </c>
      <c r="AC16" s="207">
        <f t="shared" si="8"/>
        <v>17.133601612519897</v>
      </c>
      <c r="AD16" s="207">
        <f>AC16/SUM($AC$16:$AC$20)</f>
        <v>4.3467481248869809E-2</v>
      </c>
      <c r="AE16" s="206">
        <v>37</v>
      </c>
      <c r="AF16" s="264">
        <f>AE16/SUM($AE$16:$AE$20)</f>
        <v>0.24666666666666667</v>
      </c>
    </row>
    <row r="17" spans="1:69" ht="25.5" customHeight="1" x14ac:dyDescent="0.15">
      <c r="B17" s="318"/>
      <c r="C17" s="318"/>
      <c r="D17" s="157" t="s">
        <v>794</v>
      </c>
      <c r="E17" s="157" t="s">
        <v>290</v>
      </c>
      <c r="F17" s="157">
        <v>2</v>
      </c>
      <c r="G17" s="157" t="s">
        <v>244</v>
      </c>
      <c r="H17" s="157" t="s">
        <v>245</v>
      </c>
      <c r="I17" s="159" t="s">
        <v>279</v>
      </c>
      <c r="J17" s="159" t="s">
        <v>302</v>
      </c>
      <c r="K17" s="159" t="s">
        <v>452</v>
      </c>
      <c r="L17" s="159" t="s">
        <v>592</v>
      </c>
      <c r="O17" s="213">
        <v>0.4</v>
      </c>
      <c r="P17" s="213">
        <f>SQRT(O17*(1-O17))</f>
        <v>0.4898979485566356</v>
      </c>
      <c r="Q17" s="206">
        <v>30</v>
      </c>
      <c r="R17" s="213">
        <v>0.73329999999999995</v>
      </c>
      <c r="S17" s="213">
        <f>SQRT(R17*(1-R17))</f>
        <v>0.44223422526982237</v>
      </c>
      <c r="T17" s="206">
        <v>30</v>
      </c>
      <c r="U17" s="207">
        <f t="shared" si="0"/>
        <v>0.33329999999999993</v>
      </c>
      <c r="V17" s="207">
        <f t="shared" si="1"/>
        <v>0.83324999999999982</v>
      </c>
      <c r="W17" s="207">
        <f t="shared" si="2"/>
        <v>0.6803457760580276</v>
      </c>
      <c r="X17" s="207">
        <f t="shared" si="3"/>
        <v>0.4666749993303691</v>
      </c>
      <c r="Y17" s="207">
        <f t="shared" si="4"/>
        <v>0.12049496669985846</v>
      </c>
      <c r="Z17" s="207">
        <f t="shared" si="5"/>
        <v>2.766090643688202</v>
      </c>
      <c r="AA17" s="208">
        <f t="shared" si="6"/>
        <v>0.71420153314030399</v>
      </c>
      <c r="AB17" s="207">
        <f t="shared" si="7"/>
        <v>0.27470204851572355</v>
      </c>
      <c r="AC17" s="207">
        <f t="shared" si="8"/>
        <v>13.251840616678617</v>
      </c>
      <c r="AD17" s="207">
        <f t="shared" ref="AD17:AD20" si="11">AC17/SUM($AC$16:$AC$20)</f>
        <v>3.3619559188161334E-2</v>
      </c>
      <c r="AE17" s="206">
        <v>2</v>
      </c>
      <c r="AF17" s="264">
        <f t="shared" ref="AF17:AF20" si="12">AE17/SUM($AE$16:$AE$20)</f>
        <v>1.3333333333333334E-2</v>
      </c>
    </row>
    <row r="18" spans="1:69" ht="25.5" customHeight="1" x14ac:dyDescent="0.15">
      <c r="B18" s="318"/>
      <c r="C18" s="318"/>
      <c r="D18" s="157" t="s">
        <v>249</v>
      </c>
      <c r="E18" s="157" t="s">
        <v>293</v>
      </c>
      <c r="F18" s="157">
        <v>3</v>
      </c>
      <c r="G18" s="157" t="s">
        <v>250</v>
      </c>
      <c r="H18" s="162" t="s">
        <v>271</v>
      </c>
      <c r="I18" s="159" t="s">
        <v>280</v>
      </c>
      <c r="J18" s="160" t="s">
        <v>313</v>
      </c>
      <c r="K18" s="159" t="s">
        <v>453</v>
      </c>
      <c r="L18" s="159" t="s">
        <v>593</v>
      </c>
      <c r="O18" s="213">
        <v>21.8</v>
      </c>
      <c r="P18" s="213">
        <v>10.1</v>
      </c>
      <c r="Q18" s="206">
        <f>(170-53-1)/2</f>
        <v>58</v>
      </c>
      <c r="R18" s="213">
        <v>27.5</v>
      </c>
      <c r="S18" s="213">
        <v>11.4</v>
      </c>
      <c r="T18" s="206">
        <f>(170-53-1)/2</f>
        <v>58</v>
      </c>
      <c r="U18" s="207">
        <f t="shared" si="0"/>
        <v>5.6999999999999993</v>
      </c>
      <c r="V18" s="207">
        <f t="shared" si="1"/>
        <v>0.26146788990825681</v>
      </c>
      <c r="W18" s="207">
        <f t="shared" si="2"/>
        <v>0.5643564356435643</v>
      </c>
      <c r="X18" s="207">
        <f t="shared" si="3"/>
        <v>10.769633234237832</v>
      </c>
      <c r="Y18" s="207">
        <f t="shared" si="4"/>
        <v>1.9998706854746107</v>
      </c>
      <c r="Z18" s="207">
        <f t="shared" si="5"/>
        <v>2.8501842851140506</v>
      </c>
      <c r="AA18" s="208">
        <f t="shared" si="6"/>
        <v>0.52926593469117234</v>
      </c>
      <c r="AB18" s="207">
        <f t="shared" si="7"/>
        <v>0.19219774430424927</v>
      </c>
      <c r="AC18" s="207">
        <f t="shared" si="8"/>
        <v>27.070945674044268</v>
      </c>
      <c r="AD18" s="207">
        <f t="shared" si="11"/>
        <v>6.867825283248373E-2</v>
      </c>
      <c r="AE18" s="206">
        <v>3</v>
      </c>
      <c r="AF18" s="264">
        <f t="shared" si="12"/>
        <v>0.02</v>
      </c>
    </row>
    <row r="19" spans="1:69" ht="25.5" customHeight="1" x14ac:dyDescent="0.15">
      <c r="B19" s="318"/>
      <c r="C19" s="318"/>
      <c r="D19" s="157" t="s">
        <v>265</v>
      </c>
      <c r="E19" s="157" t="s">
        <v>291</v>
      </c>
      <c r="F19" s="157">
        <v>13</v>
      </c>
      <c r="G19" s="157" t="s">
        <v>268</v>
      </c>
      <c r="H19" s="157" t="s">
        <v>257</v>
      </c>
      <c r="I19" s="159" t="s">
        <v>281</v>
      </c>
      <c r="J19" s="159" t="s">
        <v>311</v>
      </c>
      <c r="K19" s="159" t="s">
        <v>454</v>
      </c>
      <c r="L19" s="159" t="s">
        <v>594</v>
      </c>
      <c r="O19" s="213">
        <v>0.08</v>
      </c>
      <c r="P19" s="213">
        <v>0.28999999999999998</v>
      </c>
      <c r="Q19" s="206">
        <v>52</v>
      </c>
      <c r="R19" s="213">
        <v>0.13</v>
      </c>
      <c r="S19" s="213">
        <v>0.307</v>
      </c>
      <c r="T19" s="206">
        <v>116</v>
      </c>
      <c r="U19" s="207">
        <f t="shared" si="0"/>
        <v>0.05</v>
      </c>
      <c r="V19" s="207">
        <f t="shared" si="1"/>
        <v>0.625</v>
      </c>
      <c r="W19" s="207">
        <f t="shared" si="2"/>
        <v>0.17241379310344829</v>
      </c>
      <c r="X19" s="207">
        <f t="shared" si="3"/>
        <v>0.30187900512446997</v>
      </c>
      <c r="Y19" s="207">
        <f t="shared" si="4"/>
        <v>4.9292992114681342E-2</v>
      </c>
      <c r="Z19" s="207">
        <f t="shared" si="5"/>
        <v>1.0143429695578996</v>
      </c>
      <c r="AA19" s="208">
        <f t="shared" si="6"/>
        <v>0.16562927249407136</v>
      </c>
      <c r="AB19" s="207">
        <f t="shared" si="7"/>
        <v>0.1673819532054602</v>
      </c>
      <c r="AC19" s="207">
        <f t="shared" si="8"/>
        <v>35.692974129231914</v>
      </c>
      <c r="AD19" s="207">
        <f t="shared" si="11"/>
        <v>9.0552104500029956E-2</v>
      </c>
      <c r="AE19" s="206">
        <v>13</v>
      </c>
      <c r="AF19" s="264">
        <f t="shared" si="12"/>
        <v>8.666666666666667E-2</v>
      </c>
    </row>
    <row r="20" spans="1:69" ht="25.5" customHeight="1" x14ac:dyDescent="0.15">
      <c r="B20" s="318"/>
      <c r="C20" s="317"/>
      <c r="D20" s="157" t="s">
        <v>266</v>
      </c>
      <c r="E20" s="157" t="s">
        <v>294</v>
      </c>
      <c r="F20" s="157">
        <v>95</v>
      </c>
      <c r="G20" s="157" t="s">
        <v>269</v>
      </c>
      <c r="H20" s="157" t="s">
        <v>242</v>
      </c>
      <c r="I20" s="159" t="s">
        <v>282</v>
      </c>
      <c r="J20" s="159" t="s">
        <v>303</v>
      </c>
      <c r="K20" s="159" t="s">
        <v>455</v>
      </c>
      <c r="L20" s="160" t="s">
        <v>595</v>
      </c>
      <c r="O20" s="213">
        <f>105/Q20</f>
        <v>0.17128874388254486</v>
      </c>
      <c r="P20" s="213">
        <f>SQRT(O20*(1-O20))</f>
        <v>0.37676107827333333</v>
      </c>
      <c r="Q20" s="206">
        <v>613</v>
      </c>
      <c r="R20" s="213">
        <f>57/T20</f>
        <v>9.3904448105436578E-2</v>
      </c>
      <c r="S20" s="213">
        <f>SQRT(R20*(1-R20))</f>
        <v>0.2916957365671462</v>
      </c>
      <c r="T20" s="206">
        <v>607</v>
      </c>
      <c r="U20" s="207">
        <f t="shared" si="0"/>
        <v>-7.7384295777108286E-2</v>
      </c>
      <c r="V20" s="207">
        <f t="shared" si="1"/>
        <v>-0.45177688867968935</v>
      </c>
      <c r="W20" s="207">
        <f t="shared" si="2"/>
        <v>-0.20539355108482671</v>
      </c>
      <c r="X20" s="207">
        <f t="shared" si="3"/>
        <v>0.33713159426763889</v>
      </c>
      <c r="Y20" s="207">
        <f t="shared" si="4"/>
        <v>1.9280549352757876E-2</v>
      </c>
      <c r="Z20" s="207">
        <f t="shared" si="5"/>
        <v>-4.0135939262560116</v>
      </c>
      <c r="AA20" s="208">
        <f t="shared" si="6"/>
        <v>-0.22953735898058597</v>
      </c>
      <c r="AB20" s="207">
        <f t="shared" si="7"/>
        <v>5.7637011847228477E-2</v>
      </c>
      <c r="AC20" s="207">
        <f t="shared" si="8"/>
        <v>301.021202266449</v>
      </c>
      <c r="AD20" s="207">
        <f t="shared" si="11"/>
        <v>0.76368260223045514</v>
      </c>
      <c r="AE20" s="206">
        <v>95</v>
      </c>
      <c r="AF20" s="264">
        <f t="shared" si="12"/>
        <v>0.6333333333333333</v>
      </c>
      <c r="AH20" s="265" t="s">
        <v>1008</v>
      </c>
      <c r="AI20" s="214">
        <f>SUMPRODUCT(AD16:AD20,AA16:AA20)</f>
        <v>-7.5830269974221959E-2</v>
      </c>
      <c r="AJ20" s="265" t="s">
        <v>1009</v>
      </c>
      <c r="AK20" s="299">
        <f>SQRT(SUMPRODUCT(AD16:AD20,AD16:AD20,AB16:AB20,AB16:AB20))</f>
        <v>5.0368371023148388E-2</v>
      </c>
      <c r="AM20" s="265" t="s">
        <v>998</v>
      </c>
      <c r="AN20" s="214">
        <f>SUMPRODUCT(AF16:AF20,AA16:AA20)</f>
        <v>2.5879279919755083E-2</v>
      </c>
      <c r="AO20" s="265" t="s">
        <v>999</v>
      </c>
      <c r="AP20" s="266">
        <f>SQRT(SUMPRODUCT(AF16:AF20,AF16:AF20,AB16:AB20,AB16:AB20))</f>
        <v>7.1570285409832457E-2</v>
      </c>
      <c r="AR20" s="265" t="s">
        <v>1000</v>
      </c>
      <c r="AS20" s="266">
        <f>AA21</f>
        <v>-0.19043529140077817</v>
      </c>
      <c r="AT20" s="265" t="s">
        <v>1001</v>
      </c>
      <c r="AU20" s="266">
        <f>AB21</f>
        <v>6.024815813671619E-2</v>
      </c>
      <c r="AV20" s="266"/>
      <c r="AW20" s="265" t="s">
        <v>1002</v>
      </c>
      <c r="AX20" s="266">
        <f>AA22</f>
        <v>-0.2107275765500414</v>
      </c>
      <c r="AY20" s="265" t="s">
        <v>1003</v>
      </c>
      <c r="AZ20" s="266">
        <f>AB22</f>
        <v>6.030899064681576E-2</v>
      </c>
      <c r="BB20" s="265" t="s">
        <v>1010</v>
      </c>
      <c r="BC20" s="266">
        <f>O21+AI20*X21</f>
        <v>1980.4202810371667</v>
      </c>
      <c r="BD20" s="265" t="s">
        <v>1011</v>
      </c>
      <c r="BE20" s="299">
        <f>X21*AK20</f>
        <v>32.267870202124698</v>
      </c>
      <c r="BG20" s="265" t="s">
        <v>1012</v>
      </c>
      <c r="BH20" s="243">
        <f>O21+AN20*X21</f>
        <v>2045.5792386851529</v>
      </c>
      <c r="BI20" s="265" t="s">
        <v>1013</v>
      </c>
      <c r="BJ20" s="266">
        <f>X21*AP20</f>
        <v>45.850612855280254</v>
      </c>
      <c r="BL20" s="265" t="s">
        <v>1014</v>
      </c>
      <c r="BM20" s="304">
        <v>202.2</v>
      </c>
      <c r="BN20" s="265" t="s">
        <v>1015</v>
      </c>
      <c r="BO20" s="243">
        <v>208</v>
      </c>
      <c r="BP20" s="305" t="s">
        <v>1016</v>
      </c>
      <c r="BQ20" s="266">
        <f>BM20/SQRT(BO20)</f>
        <v>14.020047459592666</v>
      </c>
    </row>
    <row r="21" spans="1:69" s="280" customFormat="1" ht="25.5" hidden="1" customHeight="1" x14ac:dyDescent="0.15">
      <c r="A21" s="271"/>
      <c r="B21" s="318"/>
      <c r="C21" s="272"/>
      <c r="D21" s="286" t="s">
        <v>1004</v>
      </c>
      <c r="E21" s="286"/>
      <c r="F21" s="286"/>
      <c r="G21" s="286"/>
      <c r="H21" s="286"/>
      <c r="I21" s="287"/>
      <c r="J21" s="287"/>
      <c r="K21" s="287"/>
      <c r="L21" s="288"/>
      <c r="M21" s="271"/>
      <c r="N21" s="271"/>
      <c r="O21" s="275">
        <v>2029</v>
      </c>
      <c r="P21" s="275">
        <f>27.47*SQRT(Q21)</f>
        <v>648.89698889731324</v>
      </c>
      <c r="Q21" s="276">
        <v>558</v>
      </c>
      <c r="R21" s="275">
        <v>1907</v>
      </c>
      <c r="S21" s="275">
        <f>26.86*SQRT(T21)</f>
        <v>632.20931533788712</v>
      </c>
      <c r="T21" s="276">
        <v>554</v>
      </c>
      <c r="U21" s="277">
        <f>R21-O21</f>
        <v>-122</v>
      </c>
      <c r="V21" s="277">
        <f>U21/R21</f>
        <v>-6.3974829575249081E-2</v>
      </c>
      <c r="W21" s="277">
        <f>U21/S21</f>
        <v>-0.1929740626089898</v>
      </c>
      <c r="X21" s="277">
        <f>SQRT(((T21-1)*S21^2 + (Q21-1)*P21^2)/(T21+Q21-2))</f>
        <v>640.63755778988707</v>
      </c>
      <c r="Y21" s="277">
        <f>SQRT(S21^2/T21 + P21^2/Q21)</f>
        <v>38.419532792578302</v>
      </c>
      <c r="Z21" s="277">
        <f>U21/Y21</f>
        <v>-3.1754680791841219</v>
      </c>
      <c r="AA21" s="278">
        <f>U21/X21</f>
        <v>-0.19043529140077817</v>
      </c>
      <c r="AB21" s="277">
        <f>SQRT(((T21+Q21)/(T21*Q21)) + ((AA21^2)/(T21+Q21-2)))</f>
        <v>6.024815813671619E-2</v>
      </c>
      <c r="AC21" s="207"/>
      <c r="AD21" s="207"/>
      <c r="AE21" s="276"/>
      <c r="AF21" s="279"/>
      <c r="AG21" s="279"/>
      <c r="AH21" s="281"/>
      <c r="AI21" s="306"/>
      <c r="AJ21" s="281"/>
      <c r="AK21" s="307"/>
      <c r="AL21" s="282"/>
      <c r="AM21" s="281"/>
      <c r="AN21" s="306"/>
      <c r="AO21" s="281"/>
      <c r="AP21" s="282"/>
      <c r="AR21" s="281"/>
      <c r="AS21" s="283"/>
      <c r="AT21" s="281"/>
      <c r="AU21" s="283"/>
      <c r="AV21" s="283"/>
      <c r="AW21" s="281"/>
      <c r="AX21" s="283"/>
      <c r="AY21" s="281"/>
      <c r="AZ21" s="283"/>
      <c r="BA21" s="283"/>
      <c r="BB21" s="281"/>
      <c r="BD21" s="281"/>
      <c r="BE21" s="307"/>
      <c r="BH21" s="283"/>
      <c r="BJ21" s="282"/>
      <c r="BK21" s="308"/>
      <c r="BM21" s="283"/>
      <c r="BO21" s="283"/>
      <c r="BQ21" s="282"/>
    </row>
    <row r="22" spans="1:69" s="280" customFormat="1" ht="25.5" hidden="1" customHeight="1" x14ac:dyDescent="0.15">
      <c r="A22" s="271"/>
      <c r="B22" s="318"/>
      <c r="C22" s="272"/>
      <c r="D22" s="286" t="s">
        <v>1005</v>
      </c>
      <c r="E22" s="286"/>
      <c r="F22" s="286"/>
      <c r="G22" s="286"/>
      <c r="H22" s="286"/>
      <c r="I22" s="287"/>
      <c r="J22" s="287"/>
      <c r="K22" s="287"/>
      <c r="L22" s="288"/>
      <c r="M22" s="271"/>
      <c r="N22" s="271"/>
      <c r="O22" s="275">
        <v>2029</v>
      </c>
      <c r="P22" s="275">
        <f>27.47*SQRT(Q22)</f>
        <v>648.89698889731324</v>
      </c>
      <c r="Q22" s="276">
        <v>558</v>
      </c>
      <c r="R22" s="275">
        <v>1894</v>
      </c>
      <c r="S22" s="275">
        <f>26.86*SQRT(T22)</f>
        <v>632.20931533788712</v>
      </c>
      <c r="T22" s="276">
        <v>554</v>
      </c>
      <c r="U22" s="277">
        <f>R22-O22</f>
        <v>-135</v>
      </c>
      <c r="V22" s="277">
        <f>U22/R22</f>
        <v>-7.1277719112988386E-2</v>
      </c>
      <c r="W22" s="277">
        <f>U22/S22</f>
        <v>-0.21353687255912804</v>
      </c>
      <c r="X22" s="277">
        <f>SQRT(((T22-1)*S22^2 + (Q22-1)*P22^2)/(T22+Q22-2))</f>
        <v>640.63755778988707</v>
      </c>
      <c r="Y22" s="277">
        <f>SQRT(S22^2/T22 + P22^2/Q22)</f>
        <v>38.419532792578302</v>
      </c>
      <c r="Z22" s="277">
        <f>U22/Y22</f>
        <v>-3.5138376286053807</v>
      </c>
      <c r="AA22" s="278">
        <f>U22/X22</f>
        <v>-0.2107275765500414</v>
      </c>
      <c r="AB22" s="277">
        <f>SQRT(((T22+Q22)/(T22*Q22)) + ((AA22^2)/(T22+Q22-2)))</f>
        <v>6.030899064681576E-2</v>
      </c>
      <c r="AC22" s="207"/>
      <c r="AD22" s="207"/>
      <c r="AE22" s="276"/>
      <c r="AF22" s="279"/>
      <c r="AG22" s="279"/>
      <c r="AH22" s="281"/>
      <c r="AI22" s="306"/>
      <c r="AJ22" s="281"/>
      <c r="AK22" s="307"/>
      <c r="AL22" s="282"/>
      <c r="AM22" s="281"/>
      <c r="AN22" s="306"/>
      <c r="AO22" s="281"/>
      <c r="AP22" s="282"/>
      <c r="AR22" s="281"/>
      <c r="AS22" s="283"/>
      <c r="AT22" s="281"/>
      <c r="AU22" s="283"/>
      <c r="AV22" s="283"/>
      <c r="AW22" s="281"/>
      <c r="AX22" s="283"/>
      <c r="AY22" s="281"/>
      <c r="AZ22" s="283"/>
      <c r="BA22" s="283"/>
      <c r="BB22" s="281"/>
      <c r="BD22" s="281"/>
      <c r="BE22" s="307"/>
      <c r="BH22" s="283"/>
      <c r="BJ22" s="282"/>
      <c r="BK22" s="308"/>
      <c r="BM22" s="283"/>
      <c r="BO22" s="283"/>
      <c r="BQ22" s="282"/>
    </row>
    <row r="23" spans="1:69" ht="25.5" customHeight="1" x14ac:dyDescent="0.15">
      <c r="B23" s="318"/>
      <c r="C23" s="353" t="s">
        <v>201</v>
      </c>
      <c r="D23" s="157" t="s">
        <v>264</v>
      </c>
      <c r="E23" s="157" t="s">
        <v>292</v>
      </c>
      <c r="F23" s="157">
        <v>37</v>
      </c>
      <c r="G23" s="157" t="s">
        <v>267</v>
      </c>
      <c r="H23" s="157" t="s">
        <v>270</v>
      </c>
      <c r="I23" s="159" t="s">
        <v>274</v>
      </c>
      <c r="J23" s="159" t="s">
        <v>304</v>
      </c>
      <c r="K23" s="159" t="s">
        <v>456</v>
      </c>
      <c r="L23" s="160" t="s">
        <v>596</v>
      </c>
      <c r="O23" s="213">
        <v>1.74</v>
      </c>
      <c r="P23" s="213">
        <v>1.36</v>
      </c>
      <c r="Q23" s="206">
        <v>36</v>
      </c>
      <c r="R23" s="213">
        <v>1.48</v>
      </c>
      <c r="S23" s="213">
        <v>1.03</v>
      </c>
      <c r="T23" s="206">
        <v>40</v>
      </c>
      <c r="U23" s="207">
        <f t="shared" si="0"/>
        <v>-0.26</v>
      </c>
      <c r="V23" s="207">
        <f t="shared" si="1"/>
        <v>-0.14942528735632185</v>
      </c>
      <c r="W23" s="207">
        <f t="shared" si="2"/>
        <v>-0.19117647058823528</v>
      </c>
      <c r="X23" s="207">
        <f t="shared" si="3"/>
        <v>1.1974697423249507</v>
      </c>
      <c r="Y23" s="207">
        <f t="shared" si="4"/>
        <v>0.27910621235969968</v>
      </c>
      <c r="Z23" s="207">
        <f t="shared" si="5"/>
        <v>-0.93154501220819685</v>
      </c>
      <c r="AA23" s="208">
        <f t="shared" si="6"/>
        <v>-0.21712448407689725</v>
      </c>
      <c r="AB23" s="207">
        <f t="shared" si="7"/>
        <v>0.23111652019557949</v>
      </c>
      <c r="AC23" s="207">
        <f t="shared" si="8"/>
        <v>18.721386966747335</v>
      </c>
      <c r="AD23" s="207">
        <f>AC23/SUM($AC$23:$AC$27)</f>
        <v>4.9275498400426124E-2</v>
      </c>
      <c r="AE23" s="206">
        <v>37</v>
      </c>
      <c r="AF23" s="264">
        <f>AE23/SUM($AE$23:$AE$27)</f>
        <v>0.24666666666666667</v>
      </c>
    </row>
    <row r="24" spans="1:69" ht="25.5" customHeight="1" x14ac:dyDescent="0.15">
      <c r="B24" s="318"/>
      <c r="C24" s="318"/>
      <c r="D24" s="157" t="s">
        <v>794</v>
      </c>
      <c r="E24" s="157" t="s">
        <v>290</v>
      </c>
      <c r="F24" s="157">
        <v>2</v>
      </c>
      <c r="G24" s="157" t="s">
        <v>244</v>
      </c>
      <c r="H24" s="157" t="s">
        <v>245</v>
      </c>
      <c r="I24" s="159" t="s">
        <v>227</v>
      </c>
      <c r="J24" s="159" t="s">
        <v>305</v>
      </c>
      <c r="K24" s="159" t="s">
        <v>457</v>
      </c>
      <c r="L24" s="160" t="s">
        <v>597</v>
      </c>
      <c r="O24" s="213">
        <v>0.93330000000000002</v>
      </c>
      <c r="P24" s="213">
        <f>SQRT(O24*(1-O24))</f>
        <v>0.24950172344094135</v>
      </c>
      <c r="Q24" s="206">
        <v>30</v>
      </c>
      <c r="R24" s="213">
        <v>0.8</v>
      </c>
      <c r="S24" s="213">
        <f>SQRT(R24*(1-R24))</f>
        <v>0.39999999999999997</v>
      </c>
      <c r="T24" s="206">
        <v>30</v>
      </c>
      <c r="U24" s="207">
        <f t="shared" si="0"/>
        <v>-0.13329999999999997</v>
      </c>
      <c r="V24" s="207">
        <f t="shared" si="1"/>
        <v>-0.14282652951891137</v>
      </c>
      <c r="W24" s="207">
        <f t="shared" si="2"/>
        <v>-0.53426484659755435</v>
      </c>
      <c r="X24" s="207">
        <f t="shared" si="3"/>
        <v>0.33335499846259992</v>
      </c>
      <c r="Y24" s="207">
        <f t="shared" si="4"/>
        <v>8.6071890494709896E-2</v>
      </c>
      <c r="Z24" s="207">
        <f t="shared" si="5"/>
        <v>-1.5487053814414915</v>
      </c>
      <c r="AA24" s="208">
        <f t="shared" si="6"/>
        <v>-0.39987401003364675</v>
      </c>
      <c r="AB24" s="207">
        <f t="shared" si="7"/>
        <v>0.26348349063530152</v>
      </c>
      <c r="AC24" s="207">
        <f t="shared" si="8"/>
        <v>14.404334009751407</v>
      </c>
      <c r="AD24" s="207">
        <f t="shared" ref="AD24:AD27" si="13">AC24/SUM($AC$23:$AC$27)</f>
        <v>3.7912828719229595E-2</v>
      </c>
      <c r="AE24" s="206">
        <v>2</v>
      </c>
      <c r="AF24" s="264">
        <f t="shared" ref="AF24:AF27" si="14">AE24/SUM($AE$23:$AE$27)</f>
        <v>1.3333333333333334E-2</v>
      </c>
    </row>
    <row r="25" spans="1:69" ht="25.5" customHeight="1" x14ac:dyDescent="0.15">
      <c r="B25" s="318"/>
      <c r="C25" s="318"/>
      <c r="D25" s="157" t="s">
        <v>249</v>
      </c>
      <c r="E25" s="157" t="s">
        <v>293</v>
      </c>
      <c r="F25" s="157">
        <v>3</v>
      </c>
      <c r="G25" s="157" t="s">
        <v>250</v>
      </c>
      <c r="H25" s="157" t="s">
        <v>272</v>
      </c>
      <c r="I25" s="159" t="s">
        <v>275</v>
      </c>
      <c r="J25" s="160" t="s">
        <v>314</v>
      </c>
      <c r="K25" s="159" t="s">
        <v>458</v>
      </c>
      <c r="L25" s="159" t="s">
        <v>598</v>
      </c>
      <c r="O25" s="213">
        <v>22.1</v>
      </c>
      <c r="P25" s="213">
        <v>9.6999999999999993</v>
      </c>
      <c r="Q25" s="206">
        <v>55</v>
      </c>
      <c r="R25" s="213">
        <v>24.1</v>
      </c>
      <c r="S25" s="213">
        <v>9.6</v>
      </c>
      <c r="T25" s="206">
        <v>55</v>
      </c>
      <c r="U25" s="207">
        <f t="shared" si="0"/>
        <v>2</v>
      </c>
      <c r="V25" s="207">
        <f t="shared" ref="V25:V26" si="15">U25/R25</f>
        <v>8.2987551867219914E-2</v>
      </c>
      <c r="W25" s="207">
        <f t="shared" ref="W25:W26" si="16">U25/S25</f>
        <v>0.20833333333333334</v>
      </c>
      <c r="X25" s="207">
        <f t="shared" ref="X25:X26" si="17">SQRT(((T25-1)*S25^2 + (Q25-1)*P25^2)/(T25+Q25-2))</f>
        <v>9.650129532809391</v>
      </c>
      <c r="Y25" s="207">
        <f t="shared" ref="Y25:Y26" si="18">SQRT(S25^2/T25 + P25^2/Q25)</f>
        <v>1.8402074981815599</v>
      </c>
      <c r="Z25" s="207">
        <f t="shared" si="5"/>
        <v>1.0868339586575657</v>
      </c>
      <c r="AA25" s="208">
        <f t="shared" si="6"/>
        <v>0.20725110406033592</v>
      </c>
      <c r="AB25" s="207">
        <f t="shared" ref="AB25:AB26" si="19">SQRT(((T25+Q25)/(T25*Q25)) + ((AA25^2)/(T25+Q25-2)))</f>
        <v>0.19173249467168407</v>
      </c>
      <c r="AC25" s="207">
        <f t="shared" si="8"/>
        <v>27.202483402999757</v>
      </c>
      <c r="AD25" s="207">
        <f t="shared" si="13"/>
        <v>7.1598110214428051E-2</v>
      </c>
      <c r="AE25" s="206">
        <v>3</v>
      </c>
      <c r="AF25" s="264">
        <f t="shared" si="14"/>
        <v>0.02</v>
      </c>
    </row>
    <row r="26" spans="1:69" ht="25.5" customHeight="1" x14ac:dyDescent="0.15">
      <c r="B26" s="318"/>
      <c r="C26" s="318"/>
      <c r="D26" s="157" t="s">
        <v>265</v>
      </c>
      <c r="E26" s="157" t="s">
        <v>291</v>
      </c>
      <c r="F26" s="157">
        <v>13</v>
      </c>
      <c r="G26" s="157" t="s">
        <v>268</v>
      </c>
      <c r="H26" s="157" t="s">
        <v>257</v>
      </c>
      <c r="I26" s="159" t="s">
        <v>276</v>
      </c>
      <c r="J26" s="159" t="s">
        <v>312</v>
      </c>
      <c r="K26" s="159" t="s">
        <v>459</v>
      </c>
      <c r="L26" s="159" t="s">
        <v>599</v>
      </c>
      <c r="O26" s="213">
        <v>0.08</v>
      </c>
      <c r="P26" s="213">
        <v>0.28999999999999998</v>
      </c>
      <c r="Q26" s="206">
        <v>52</v>
      </c>
      <c r="R26" s="213">
        <v>0.12</v>
      </c>
      <c r="S26" s="213">
        <v>0.42099999999999999</v>
      </c>
      <c r="T26" s="206">
        <v>100</v>
      </c>
      <c r="U26" s="207">
        <f t="shared" si="0"/>
        <v>3.9999999999999994E-2</v>
      </c>
      <c r="V26" s="207">
        <f t="shared" si="15"/>
        <v>0.33333333333333331</v>
      </c>
      <c r="W26" s="207">
        <f t="shared" si="16"/>
        <v>9.5011876484560553E-2</v>
      </c>
      <c r="X26" s="207">
        <f t="shared" si="17"/>
        <v>0.38154037794183721</v>
      </c>
      <c r="Y26" s="207">
        <f t="shared" si="18"/>
        <v>5.8221282125247742E-2</v>
      </c>
      <c r="Z26" s="207">
        <f t="shared" si="5"/>
        <v>0.68703399409773458</v>
      </c>
      <c r="AA26" s="208">
        <f t="shared" si="6"/>
        <v>0.10483818309289843</v>
      </c>
      <c r="AB26" s="207">
        <f t="shared" si="19"/>
        <v>0.17118423660391172</v>
      </c>
      <c r="AC26" s="207">
        <f t="shared" si="8"/>
        <v>34.124984211929828</v>
      </c>
      <c r="AD26" s="207">
        <f t="shared" si="13"/>
        <v>8.9818431077580793E-2</v>
      </c>
      <c r="AE26" s="206">
        <v>13</v>
      </c>
      <c r="AF26" s="264">
        <f t="shared" si="14"/>
        <v>8.666666666666667E-2</v>
      </c>
    </row>
    <row r="27" spans="1:69" ht="25.5" customHeight="1" x14ac:dyDescent="0.15">
      <c r="B27" s="318"/>
      <c r="C27" s="317"/>
      <c r="D27" s="157" t="s">
        <v>266</v>
      </c>
      <c r="E27" s="157" t="s">
        <v>294</v>
      </c>
      <c r="F27" s="157">
        <v>95</v>
      </c>
      <c r="G27" s="157" t="s">
        <v>269</v>
      </c>
      <c r="H27" s="157" t="s">
        <v>242</v>
      </c>
      <c r="I27" s="159" t="s">
        <v>277</v>
      </c>
      <c r="J27" s="159" t="s">
        <v>306</v>
      </c>
      <c r="K27" s="159" t="s">
        <v>460</v>
      </c>
      <c r="L27" s="160" t="s">
        <v>600</v>
      </c>
      <c r="O27" s="213">
        <f>135/Q27</f>
        <v>0.225752508361204</v>
      </c>
      <c r="P27" s="213">
        <f>SQRT(O27*(1-O27))</f>
        <v>0.41807692274248831</v>
      </c>
      <c r="Q27" s="206">
        <v>598</v>
      </c>
      <c r="R27" s="213">
        <f>58/T27</f>
        <v>0.10034602076124567</v>
      </c>
      <c r="S27" s="213">
        <f>SQRT(R27*(1-R27))</f>
        <v>0.30046080755837246</v>
      </c>
      <c r="T27" s="206">
        <v>578</v>
      </c>
      <c r="U27" s="207">
        <f t="shared" si="0"/>
        <v>-0.12540648759995832</v>
      </c>
      <c r="V27" s="207">
        <f>U27/O27</f>
        <v>-0.55550429322055617</v>
      </c>
      <c r="W27" s="207">
        <f>U27/P27</f>
        <v>-0.29996032016625229</v>
      </c>
      <c r="X27" s="207">
        <f>SQRT(((Q27-1)*P27^2 + (T27-1)*S27^2)/(Q27+T27-2))</f>
        <v>0.365037485131325</v>
      </c>
      <c r="Y27" s="207">
        <f>SQRT(P27^2/Q27 + S27^2/T27)</f>
        <v>2.1177256816321276E-2</v>
      </c>
      <c r="Z27" s="207">
        <f t="shared" si="5"/>
        <v>-5.9217531660336551</v>
      </c>
      <c r="AA27" s="208">
        <f t="shared" si="6"/>
        <v>-0.34354413644626763</v>
      </c>
      <c r="AB27" s="207">
        <f>SQRT(((Q27+T27)/(Q27*T27)) + ((AA27^2)/(Q27+T27-2)))</f>
        <v>5.9185090269173686E-2</v>
      </c>
      <c r="AC27" s="207">
        <f t="shared" si="8"/>
        <v>285.47979178377244</v>
      </c>
      <c r="AD27" s="207">
        <f t="shared" si="13"/>
        <v>0.75139513158833537</v>
      </c>
      <c r="AE27" s="206">
        <v>95</v>
      </c>
      <c r="AF27" s="264">
        <f t="shared" si="14"/>
        <v>0.6333333333333333</v>
      </c>
      <c r="AH27" s="265" t="s">
        <v>1008</v>
      </c>
      <c r="AI27" s="214">
        <f>SUMPRODUCT(AD23:AD27,AA23:AA27)</f>
        <v>-0.25974147511794388</v>
      </c>
      <c r="AJ27" s="265" t="s">
        <v>1009</v>
      </c>
      <c r="AK27" s="299">
        <f>SQRT(SUMPRODUCT(AD23:AD27,AD23:AD27,AB23:AB27,AB23:AB27))</f>
        <v>5.1303441931948815E-2</v>
      </c>
      <c r="AM27" s="265" t="s">
        <v>998</v>
      </c>
      <c r="AN27" s="214">
        <f>SUMPRODUCT(AF23:AF27,AA23:AA27)</f>
        <v>-0.26323598133946152</v>
      </c>
      <c r="AO27" s="265" t="s">
        <v>999</v>
      </c>
      <c r="AP27" s="266">
        <f>SQRT(SUMPRODUCT(AF23:AF27,AF23:AF27,AB23:AB27,AB23:AB27))</f>
        <v>7.0015648949196999E-2</v>
      </c>
      <c r="AR27" s="265" t="s">
        <v>1000</v>
      </c>
      <c r="AS27" s="266">
        <f>AA28</f>
        <v>-0.43362537567094911</v>
      </c>
      <c r="AT27" s="265" t="s">
        <v>1001</v>
      </c>
      <c r="AU27" s="266">
        <f>AB28</f>
        <v>6.129615605983979E-2</v>
      </c>
      <c r="AV27" s="266"/>
      <c r="AW27" s="265" t="s">
        <v>1002</v>
      </c>
      <c r="AX27" s="266">
        <f>AA29</f>
        <v>-0.3003319722545873</v>
      </c>
      <c r="AY27" s="265" t="s">
        <v>1003</v>
      </c>
      <c r="AZ27" s="266">
        <f>AB29</f>
        <v>6.0574909579484235E-2</v>
      </c>
      <c r="BB27" s="265" t="s">
        <v>1010</v>
      </c>
      <c r="BC27" s="266">
        <f>O28+AI27*X28</f>
        <v>2021.057074030726</v>
      </c>
      <c r="BD27" s="265" t="s">
        <v>1011</v>
      </c>
      <c r="BE27" s="299">
        <f>X28*AK27</f>
        <v>30.406395280971971</v>
      </c>
      <c r="BG27" s="265" t="s">
        <v>1012</v>
      </c>
      <c r="BH27" s="243">
        <f>O28+AN27*X28</f>
        <v>2018.9859588485472</v>
      </c>
      <c r="BI27" s="265" t="s">
        <v>1013</v>
      </c>
      <c r="BJ27" s="266">
        <f>X28*AP27</f>
        <v>41.49669920055176</v>
      </c>
      <c r="BL27" s="265" t="s">
        <v>1014</v>
      </c>
      <c r="BM27" s="304">
        <v>196.75</v>
      </c>
      <c r="BN27" s="265" t="s">
        <v>1015</v>
      </c>
      <c r="BO27" s="243">
        <v>208</v>
      </c>
      <c r="BP27" s="305" t="s">
        <v>1016</v>
      </c>
      <c r="BQ27" s="266">
        <f>BM27/SQRT(BO27)</f>
        <v>13.64215795091423</v>
      </c>
    </row>
    <row r="28" spans="1:69" s="280" customFormat="1" ht="25.5" hidden="1" customHeight="1" x14ac:dyDescent="0.15">
      <c r="A28" s="271"/>
      <c r="B28" s="318"/>
      <c r="C28" s="272"/>
      <c r="D28" s="286" t="s">
        <v>1004</v>
      </c>
      <c r="E28" s="286"/>
      <c r="F28" s="286"/>
      <c r="G28" s="286"/>
      <c r="H28" s="286"/>
      <c r="I28" s="287"/>
      <c r="J28" s="287"/>
      <c r="K28" s="287"/>
      <c r="L28" s="288"/>
      <c r="M28" s="271"/>
      <c r="N28" s="271"/>
      <c r="O28" s="275">
        <v>2175</v>
      </c>
      <c r="P28" s="275">
        <f>24.29*SQRT(Q28)</f>
        <v>577.87742696872999</v>
      </c>
      <c r="Q28" s="276">
        <v>566</v>
      </c>
      <c r="R28" s="275">
        <v>1918</v>
      </c>
      <c r="S28" s="275">
        <f>25.93*SQRT(T28)</f>
        <v>607.55932228877862</v>
      </c>
      <c r="T28" s="276">
        <v>549</v>
      </c>
      <c r="U28" s="277">
        <f>R28-O28</f>
        <v>-257</v>
      </c>
      <c r="V28" s="277">
        <f>U28/R28</f>
        <v>-0.13399374348279458</v>
      </c>
      <c r="W28" s="277">
        <f>U28/S28</f>
        <v>-0.42300396121293571</v>
      </c>
      <c r="X28" s="277">
        <f>SQRT(((T28-1)*S28^2 + (Q28-1)*P28^2)/(T28+Q28-2))</f>
        <v>592.67749172276547</v>
      </c>
      <c r="Y28" s="277">
        <f>SQRT(S28^2/T28 + P28^2/Q28)</f>
        <v>35.529832535490506</v>
      </c>
      <c r="Z28" s="277">
        <f>U28/Y28</f>
        <v>-7.2333580447722197</v>
      </c>
      <c r="AA28" s="278">
        <f>U28/X28</f>
        <v>-0.43362537567094911</v>
      </c>
      <c r="AB28" s="277">
        <f>SQRT(((T28+Q28)/(T28*Q28)) + ((AA28^2)/(T28+Q28-2)))</f>
        <v>6.129615605983979E-2</v>
      </c>
      <c r="AC28" s="207"/>
      <c r="AD28" s="207"/>
      <c r="AE28" s="276"/>
      <c r="AF28" s="279"/>
      <c r="AG28" s="279"/>
      <c r="AH28" s="281"/>
      <c r="AI28" s="306"/>
      <c r="AJ28" s="281"/>
      <c r="AK28" s="307"/>
      <c r="AL28" s="282"/>
      <c r="AM28" s="281"/>
      <c r="AN28" s="306"/>
      <c r="AO28" s="281"/>
      <c r="AP28" s="282"/>
      <c r="AR28" s="281"/>
      <c r="AS28" s="283"/>
      <c r="AT28" s="281"/>
      <c r="AU28" s="283"/>
      <c r="AV28" s="283"/>
      <c r="AW28" s="281"/>
      <c r="AX28" s="283"/>
      <c r="AY28" s="281"/>
      <c r="AZ28" s="283"/>
      <c r="BA28" s="283"/>
      <c r="BB28" s="281"/>
      <c r="BD28" s="281"/>
      <c r="BE28" s="307"/>
      <c r="BH28" s="283"/>
      <c r="BJ28" s="282"/>
      <c r="BK28" s="308"/>
      <c r="BM28" s="283"/>
      <c r="BO28" s="283"/>
      <c r="BQ28" s="282"/>
    </row>
    <row r="29" spans="1:69" s="280" customFormat="1" ht="25.5" hidden="1" customHeight="1" x14ac:dyDescent="0.15">
      <c r="A29" s="271"/>
      <c r="B29" s="318"/>
      <c r="C29" s="272"/>
      <c r="D29" s="286" t="s">
        <v>1005</v>
      </c>
      <c r="E29" s="286"/>
      <c r="F29" s="286"/>
      <c r="G29" s="286"/>
      <c r="H29" s="286"/>
      <c r="I29" s="287"/>
      <c r="J29" s="287"/>
      <c r="K29" s="287"/>
      <c r="L29" s="288"/>
      <c r="M29" s="271"/>
      <c r="N29" s="271"/>
      <c r="O29" s="275">
        <v>2175</v>
      </c>
      <c r="P29" s="275">
        <f>24.29*SQRT(Q29)</f>
        <v>577.87742696872999</v>
      </c>
      <c r="Q29" s="276">
        <v>566</v>
      </c>
      <c r="R29" s="275">
        <v>1997</v>
      </c>
      <c r="S29" s="275">
        <f>25.93*SQRT(T29)</f>
        <v>607.55932228877862</v>
      </c>
      <c r="T29" s="276">
        <v>549</v>
      </c>
      <c r="U29" s="277">
        <f>R29-O29</f>
        <v>-178</v>
      </c>
      <c r="V29" s="277">
        <f>U29/R29</f>
        <v>-8.9133700550826242E-2</v>
      </c>
      <c r="W29" s="277">
        <f>U29/S29</f>
        <v>-0.29297550620973756</v>
      </c>
      <c r="X29" s="277">
        <f>SQRT(((T29-1)*S29^2 + (Q29-1)*P29^2)/(T29+Q29-2))</f>
        <v>592.67749172276547</v>
      </c>
      <c r="Y29" s="277">
        <f>SQRT(S29^2/T29 + P29^2/Q29)</f>
        <v>35.529832535490506</v>
      </c>
      <c r="Z29" s="277">
        <f>U29/Y29</f>
        <v>-5.009874443460915</v>
      </c>
      <c r="AA29" s="278">
        <f>U29/X29</f>
        <v>-0.3003319722545873</v>
      </c>
      <c r="AB29" s="277">
        <f>SQRT(((T29+Q29)/(T29*Q29)) + ((AA29^2)/(T29+Q29-2)))</f>
        <v>6.0574909579484235E-2</v>
      </c>
      <c r="AC29" s="207"/>
      <c r="AD29" s="207"/>
      <c r="AE29" s="276"/>
      <c r="AF29" s="279"/>
      <c r="AG29" s="279"/>
      <c r="AH29" s="281"/>
      <c r="AI29" s="306"/>
      <c r="AJ29" s="281"/>
      <c r="AK29" s="307"/>
      <c r="AL29" s="282"/>
      <c r="AM29" s="281"/>
      <c r="AN29" s="306"/>
      <c r="AO29" s="281"/>
      <c r="AP29" s="282"/>
      <c r="AR29" s="281"/>
      <c r="AS29" s="283"/>
      <c r="AT29" s="281"/>
      <c r="AU29" s="283"/>
      <c r="AV29" s="283"/>
      <c r="AW29" s="281"/>
      <c r="AX29" s="283"/>
      <c r="AY29" s="281"/>
      <c r="AZ29" s="283"/>
      <c r="BA29" s="283"/>
      <c r="BB29" s="281"/>
      <c r="BD29" s="281"/>
      <c r="BE29" s="307"/>
      <c r="BH29" s="283"/>
      <c r="BJ29" s="282"/>
      <c r="BK29" s="308"/>
      <c r="BM29" s="283"/>
      <c r="BO29" s="283"/>
      <c r="BQ29" s="282"/>
    </row>
    <row r="30" spans="1:69" ht="25.5" customHeight="1" x14ac:dyDescent="0.15">
      <c r="B30" s="318"/>
      <c r="C30" s="353" t="s">
        <v>200</v>
      </c>
      <c r="D30" s="157" t="s">
        <v>264</v>
      </c>
      <c r="E30" s="157" t="s">
        <v>292</v>
      </c>
      <c r="F30" s="157">
        <v>37</v>
      </c>
      <c r="G30" s="157" t="s">
        <v>267</v>
      </c>
      <c r="H30" s="157" t="s">
        <v>270</v>
      </c>
      <c r="I30" s="159" t="s">
        <v>283</v>
      </c>
      <c r="J30" s="161" t="s">
        <v>307</v>
      </c>
      <c r="K30" s="159" t="s">
        <v>461</v>
      </c>
      <c r="L30" s="160" t="s">
        <v>601</v>
      </c>
      <c r="O30" s="213">
        <v>1.51</v>
      </c>
      <c r="P30" s="213">
        <v>0.87</v>
      </c>
      <c r="Q30" s="206">
        <v>38</v>
      </c>
      <c r="R30" s="213">
        <v>1.48</v>
      </c>
      <c r="S30" s="213">
        <v>1.03</v>
      </c>
      <c r="T30" s="206">
        <v>40</v>
      </c>
      <c r="U30" s="207">
        <f t="shared" si="0"/>
        <v>-3.0000000000000027E-2</v>
      </c>
      <c r="V30" s="207">
        <f t="shared" ref="V30:V34" si="20">U30/O30</f>
        <v>-1.986754966887419E-2</v>
      </c>
      <c r="W30" s="207">
        <f t="shared" ref="W30:W34" si="21">U30/P30</f>
        <v>-3.4482758620689689E-2</v>
      </c>
      <c r="X30" s="207">
        <f t="shared" ref="X30:X34" si="22">SQRT(((Q30-1)*P30^2 + (T30-1)*S30^2)/(Q30+T30-2))</f>
        <v>0.95545800535659331</v>
      </c>
      <c r="Y30" s="207">
        <f t="shared" ref="Y30:Y34" si="23">SQRT(P30^2/Q30 + S30^2/T30)</f>
        <v>0.21550155696103818</v>
      </c>
      <c r="Z30" s="207">
        <f t="shared" si="5"/>
        <v>-0.13921013111484809</v>
      </c>
      <c r="AA30" s="208">
        <f t="shared" si="6"/>
        <v>-3.139855423452495E-2</v>
      </c>
      <c r="AB30" s="207">
        <f t="shared" ref="AB30:AB34" si="24">SQRT(((Q30+T30)/(Q30*T30)) + ((AA30^2)/(Q30+T30-2)))</f>
        <v>0.22655851658445245</v>
      </c>
      <c r="AC30" s="207">
        <f t="shared" si="8"/>
        <v>19.482254626938595</v>
      </c>
      <c r="AD30" s="207">
        <f>AC30/SUM($AC$30:$AC$34)</f>
        <v>4.6842137261702353E-2</v>
      </c>
      <c r="AE30" s="206">
        <v>37</v>
      </c>
      <c r="AF30" s="264">
        <f>AE30/SUM($AE$30:$AE$34)</f>
        <v>0.24666666666666667</v>
      </c>
    </row>
    <row r="31" spans="1:69" ht="25.5" customHeight="1" x14ac:dyDescent="0.15">
      <c r="B31" s="318"/>
      <c r="C31" s="318"/>
      <c r="D31" s="157" t="s">
        <v>794</v>
      </c>
      <c r="E31" s="157" t="s">
        <v>290</v>
      </c>
      <c r="F31" s="157">
        <v>2</v>
      </c>
      <c r="G31" s="157" t="s">
        <v>244</v>
      </c>
      <c r="H31" s="157" t="s">
        <v>245</v>
      </c>
      <c r="I31" s="159" t="s">
        <v>279</v>
      </c>
      <c r="J31" s="159" t="s">
        <v>309</v>
      </c>
      <c r="K31" s="159" t="s">
        <v>462</v>
      </c>
      <c r="L31" s="159" t="s">
        <v>602</v>
      </c>
      <c r="O31" s="213">
        <v>0.73329999999999995</v>
      </c>
      <c r="P31" s="213">
        <v>0.442</v>
      </c>
      <c r="Q31" s="206">
        <v>30</v>
      </c>
      <c r="R31" s="213">
        <v>0.8</v>
      </c>
      <c r="S31" s="213">
        <v>0.4</v>
      </c>
      <c r="T31" s="206">
        <v>30</v>
      </c>
      <c r="U31" s="207">
        <f t="shared" si="0"/>
        <v>6.6700000000000093E-2</v>
      </c>
      <c r="V31" s="207">
        <f t="shared" si="20"/>
        <v>9.09586799399974E-2</v>
      </c>
      <c r="W31" s="207">
        <f t="shared" si="21"/>
        <v>0.15090497737556582</v>
      </c>
      <c r="X31" s="207">
        <f t="shared" si="22"/>
        <v>0.42152342758143352</v>
      </c>
      <c r="Y31" s="207">
        <f t="shared" si="23"/>
        <v>0.10883688100394401</v>
      </c>
      <c r="Z31" s="207">
        <f t="shared" si="5"/>
        <v>0.61284372893397254</v>
      </c>
      <c r="AA31" s="208">
        <f t="shared" si="6"/>
        <v>0.15823557039926189</v>
      </c>
      <c r="AB31" s="207">
        <f t="shared" si="24"/>
        <v>0.25903352074407898</v>
      </c>
      <c r="AC31" s="207">
        <f t="shared" si="8"/>
        <v>14.903492834009691</v>
      </c>
      <c r="AD31" s="207">
        <f t="shared" ref="AD31:AD34" si="25">AC31/SUM($AC$30:$AC$34)</f>
        <v>3.5833196433239477E-2</v>
      </c>
      <c r="AE31" s="206">
        <v>2</v>
      </c>
      <c r="AF31" s="264">
        <f t="shared" ref="AF31:AF34" si="26">AE31/SUM($AE$30:$AE$34)</f>
        <v>1.3333333333333334E-2</v>
      </c>
    </row>
    <row r="32" spans="1:69" ht="25.5" customHeight="1" x14ac:dyDescent="0.15">
      <c r="B32" s="318"/>
      <c r="C32" s="318"/>
      <c r="D32" s="157" t="s">
        <v>249</v>
      </c>
      <c r="E32" s="157" t="s">
        <v>293</v>
      </c>
      <c r="F32" s="157">
        <v>3</v>
      </c>
      <c r="G32" s="157" t="s">
        <v>250</v>
      </c>
      <c r="H32" s="162" t="s">
        <v>273</v>
      </c>
      <c r="I32" s="159" t="s">
        <v>284</v>
      </c>
      <c r="J32" s="160" t="s">
        <v>315</v>
      </c>
      <c r="K32" s="159" t="s">
        <v>463</v>
      </c>
      <c r="L32" s="160" t="s">
        <v>603</v>
      </c>
      <c r="O32" s="213">
        <v>27.5</v>
      </c>
      <c r="P32" s="213">
        <v>11.4</v>
      </c>
      <c r="Q32" s="206">
        <v>58</v>
      </c>
      <c r="R32" s="213">
        <v>24.1</v>
      </c>
      <c r="S32" s="213">
        <v>9.6</v>
      </c>
      <c r="T32" s="206">
        <v>55</v>
      </c>
      <c r="U32" s="207">
        <f t="shared" si="0"/>
        <v>-3.3999999999999986</v>
      </c>
      <c r="V32" s="207">
        <f t="shared" si="20"/>
        <v>-0.12363636363636359</v>
      </c>
      <c r="W32" s="207">
        <f t="shared" si="21"/>
        <v>-0.29824561403508759</v>
      </c>
      <c r="X32" s="207">
        <f t="shared" si="22"/>
        <v>10.562708497862223</v>
      </c>
      <c r="Y32" s="207">
        <f t="shared" si="23"/>
        <v>1.9789709494605465</v>
      </c>
      <c r="Z32" s="207">
        <f t="shared" si="5"/>
        <v>-1.718064634009314</v>
      </c>
      <c r="AA32" s="208">
        <f t="shared" si="6"/>
        <v>-0.32188713725159807</v>
      </c>
      <c r="AB32" s="207">
        <f t="shared" si="24"/>
        <v>0.19067415370131532</v>
      </c>
      <c r="AC32" s="207">
        <f t="shared" si="8"/>
        <v>27.505297397409759</v>
      </c>
      <c r="AD32" s="207">
        <f t="shared" si="25"/>
        <v>6.6132331230898733E-2</v>
      </c>
      <c r="AE32" s="206">
        <v>3</v>
      </c>
      <c r="AF32" s="264">
        <f t="shared" si="26"/>
        <v>0.02</v>
      </c>
    </row>
    <row r="33" spans="1:69" ht="25.5" customHeight="1" x14ac:dyDescent="0.15">
      <c r="B33" s="318"/>
      <c r="C33" s="318"/>
      <c r="D33" s="294" t="s">
        <v>265</v>
      </c>
      <c r="E33" s="294" t="s">
        <v>291</v>
      </c>
      <c r="F33" s="294">
        <v>13</v>
      </c>
      <c r="G33" s="294" t="s">
        <v>268</v>
      </c>
      <c r="H33" s="294" t="s">
        <v>257</v>
      </c>
      <c r="I33" s="72" t="s">
        <v>285</v>
      </c>
      <c r="J33" s="72" t="s">
        <v>310</v>
      </c>
      <c r="K33" s="72" t="s">
        <v>464</v>
      </c>
      <c r="L33" s="72" t="s">
        <v>604</v>
      </c>
      <c r="O33" s="213">
        <v>0.13</v>
      </c>
      <c r="P33" s="213">
        <v>0.307</v>
      </c>
      <c r="Q33" s="206">
        <v>116</v>
      </c>
      <c r="R33" s="213">
        <v>0.14000000000000001</v>
      </c>
      <c r="S33" s="213">
        <v>0.307</v>
      </c>
      <c r="T33" s="206">
        <v>116</v>
      </c>
      <c r="U33" s="207">
        <f t="shared" si="0"/>
        <v>1.0000000000000009E-2</v>
      </c>
      <c r="V33" s="207">
        <f t="shared" si="20"/>
        <v>7.6923076923076983E-2</v>
      </c>
      <c r="W33" s="207">
        <f t="shared" si="21"/>
        <v>3.2573289902280159E-2</v>
      </c>
      <c r="X33" s="207">
        <f t="shared" si="22"/>
        <v>0.307</v>
      </c>
      <c r="Y33" s="207">
        <f t="shared" si="23"/>
        <v>4.0311074887934825E-2</v>
      </c>
      <c r="Z33" s="207">
        <f t="shared" si="5"/>
        <v>0.24807078520729364</v>
      </c>
      <c r="AA33" s="208">
        <f t="shared" si="6"/>
        <v>3.2573289902280159E-2</v>
      </c>
      <c r="AB33" s="207">
        <f t="shared" si="24"/>
        <v>0.13132399794922031</v>
      </c>
      <c r="AC33" s="207">
        <f t="shared" si="8"/>
        <v>57.984485591754293</v>
      </c>
      <c r="AD33" s="207">
        <f t="shared" si="25"/>
        <v>0.13941493349453069</v>
      </c>
      <c r="AE33" s="206">
        <v>13</v>
      </c>
      <c r="AF33" s="264">
        <f t="shared" si="26"/>
        <v>8.666666666666667E-2</v>
      </c>
    </row>
    <row r="34" spans="1:69" ht="25.5" customHeight="1" x14ac:dyDescent="0.15">
      <c r="B34" s="318"/>
      <c r="C34" s="318"/>
      <c r="D34" s="157" t="s">
        <v>266</v>
      </c>
      <c r="E34" s="157" t="s">
        <v>294</v>
      </c>
      <c r="F34" s="157">
        <v>95</v>
      </c>
      <c r="G34" s="157" t="s">
        <v>269</v>
      </c>
      <c r="H34" s="157" t="s">
        <v>242</v>
      </c>
      <c r="I34" s="159" t="s">
        <v>286</v>
      </c>
      <c r="J34" s="159" t="s">
        <v>308</v>
      </c>
      <c r="K34" s="159" t="s">
        <v>465</v>
      </c>
      <c r="L34" s="159" t="s">
        <v>605</v>
      </c>
      <c r="O34" s="213">
        <f>57/Q34</f>
        <v>9.3904448105436578E-2</v>
      </c>
      <c r="P34" s="213">
        <f>SQRT(O34*(1-O34))</f>
        <v>0.2916957365671462</v>
      </c>
      <c r="Q34" s="206">
        <v>607</v>
      </c>
      <c r="R34" s="213">
        <f>58/T34</f>
        <v>0.10034602076124567</v>
      </c>
      <c r="S34" s="213">
        <f>SQRT(R34*(1-R34))</f>
        <v>0.30046080755837246</v>
      </c>
      <c r="T34" s="206">
        <v>578</v>
      </c>
      <c r="U34" s="207">
        <f t="shared" si="0"/>
        <v>6.4415726558090941E-3</v>
      </c>
      <c r="V34" s="207">
        <f t="shared" si="20"/>
        <v>6.8597098282037194E-2</v>
      </c>
      <c r="W34" s="207">
        <f t="shared" si="21"/>
        <v>2.2083190970212524E-2</v>
      </c>
      <c r="X34" s="207">
        <f t="shared" si="22"/>
        <v>0.29600326434971463</v>
      </c>
      <c r="Y34" s="207">
        <f t="shared" si="23"/>
        <v>1.7215206931271241E-2</v>
      </c>
      <c r="Z34" s="207">
        <f t="shared" si="5"/>
        <v>0.37417921733534587</v>
      </c>
      <c r="AA34" s="208">
        <f t="shared" si="6"/>
        <v>2.1761829789142675E-2</v>
      </c>
      <c r="AB34" s="207">
        <f t="shared" si="24"/>
        <v>5.8120139221263981E-2</v>
      </c>
      <c r="AC34" s="207">
        <f t="shared" si="8"/>
        <v>296.03748645800135</v>
      </c>
      <c r="AD34" s="207">
        <f t="shared" si="25"/>
        <v>0.71177740157962865</v>
      </c>
      <c r="AE34" s="206">
        <v>95</v>
      </c>
      <c r="AF34" s="264">
        <f t="shared" si="26"/>
        <v>0.6333333333333333</v>
      </c>
      <c r="AH34" s="265" t="s">
        <v>1008</v>
      </c>
      <c r="AI34" s="214">
        <f>SUMPRODUCT(AD30:AD34,AA30:AA34)</f>
        <v>2.9429458162399634E-3</v>
      </c>
      <c r="AJ34" s="265" t="s">
        <v>1009</v>
      </c>
      <c r="AK34" s="299">
        <f>SQRT(SUMPRODUCT(AD30:AD34,AD30:AD34,AB30:AB34,AB30:AB34))</f>
        <v>4.9034160426203628E-2</v>
      </c>
      <c r="AM34" s="265" t="s">
        <v>998</v>
      </c>
      <c r="AN34" s="214">
        <f>SUMPRODUCT(AF30:AF34,AA30:AA34)</f>
        <v>4.5325988070966834E-3</v>
      </c>
      <c r="AO34" s="265" t="s">
        <v>999</v>
      </c>
      <c r="AP34" s="266">
        <f>SQRT(SUMPRODUCT(AF30:AF34,AF30:AF34,AB30:AB34,AB30:AB34))</f>
        <v>6.8073572714314662E-2</v>
      </c>
      <c r="AR34" s="265" t="s">
        <v>1000</v>
      </c>
      <c r="AS34" s="266">
        <f>AA35</f>
        <v>1.774013880045483E-2</v>
      </c>
      <c r="AT34" s="265" t="s">
        <v>1001</v>
      </c>
      <c r="AU34" s="266">
        <f>AB35</f>
        <v>6.0223198344452319E-2</v>
      </c>
      <c r="AV34" s="266"/>
      <c r="AW34" s="265" t="s">
        <v>1002</v>
      </c>
      <c r="AX34" s="266">
        <f>AA36</f>
        <v>0.16611220876789523</v>
      </c>
      <c r="AY34" s="265" t="s">
        <v>1003</v>
      </c>
      <c r="AZ34" s="266">
        <f>AB36</f>
        <v>6.0428551032940418E-2</v>
      </c>
      <c r="BB34" s="265" t="s">
        <v>1010</v>
      </c>
      <c r="BC34" s="266">
        <f>O35+AI34*X35</f>
        <v>1908.8248112003391</v>
      </c>
      <c r="BD34" s="265" t="s">
        <v>1011</v>
      </c>
      <c r="BE34" s="299">
        <f>X35*AK34</f>
        <v>30.404258430853488</v>
      </c>
      <c r="BG34" s="265" t="s">
        <v>1012</v>
      </c>
      <c r="BH34" s="243">
        <f>O35+AN34*X35</f>
        <v>1909.8104958726019</v>
      </c>
      <c r="BI34" s="265" t="s">
        <v>1013</v>
      </c>
      <c r="BJ34" s="266">
        <f>X35*AP34</f>
        <v>42.209889577541688</v>
      </c>
      <c r="BL34" s="265" t="s">
        <v>1014</v>
      </c>
      <c r="BM34" s="243">
        <f>SQRT(((208-1)*(202.2^2)+(208-1)*(196.75^2))/(208+208-2))</f>
        <v>199.49361205311814</v>
      </c>
      <c r="BN34" s="265" t="s">
        <v>1015</v>
      </c>
      <c r="BO34" s="243">
        <v>208</v>
      </c>
      <c r="BP34" s="305" t="s">
        <v>1016</v>
      </c>
      <c r="BQ34" s="266">
        <f>BM34/SQRT(BO34)</f>
        <v>13.832393218943047</v>
      </c>
    </row>
    <row r="35" spans="1:69" s="280" customFormat="1" ht="25.5" hidden="1" customHeight="1" x14ac:dyDescent="0.15">
      <c r="A35" s="271"/>
      <c r="B35" s="272"/>
      <c r="C35" s="272"/>
      <c r="D35" s="273" t="s">
        <v>1004</v>
      </c>
      <c r="E35" s="272"/>
      <c r="F35" s="272"/>
      <c r="G35" s="272"/>
      <c r="H35" s="272"/>
      <c r="I35" s="284"/>
      <c r="J35" s="284"/>
      <c r="K35" s="284"/>
      <c r="L35" s="284"/>
      <c r="M35" s="271"/>
      <c r="N35" s="271"/>
      <c r="O35" s="275">
        <v>1907</v>
      </c>
      <c r="P35" s="275">
        <f>26.86*SQRT(Q35)</f>
        <v>632.20931533788712</v>
      </c>
      <c r="Q35" s="276">
        <v>554</v>
      </c>
      <c r="R35" s="275">
        <v>1918</v>
      </c>
      <c r="S35" s="275">
        <f>25.93*SQRT(T35)</f>
        <v>607.55932228877862</v>
      </c>
      <c r="T35" s="276">
        <v>549</v>
      </c>
      <c r="U35" s="277">
        <f>R35-O35</f>
        <v>11</v>
      </c>
      <c r="V35" s="277">
        <f>U35/R35</f>
        <v>5.7351407716371219E-3</v>
      </c>
      <c r="W35" s="277">
        <f>U35/S35</f>
        <v>1.8105227911837714E-2</v>
      </c>
      <c r="X35" s="277">
        <f>SQRT(((T35-1)*S35^2 + (Q35-1)*P35^2)/(T35+Q35-2))</f>
        <v>620.06279227747507</v>
      </c>
      <c r="Y35" s="277">
        <f>SQRT(S35^2/T35 + P35^2/Q35)</f>
        <v>37.333959072136992</v>
      </c>
      <c r="Z35" s="277">
        <f>U35/Y35</f>
        <v>0.29463791875771084</v>
      </c>
      <c r="AA35" s="278">
        <f>U35/X35</f>
        <v>1.774013880045483E-2</v>
      </c>
      <c r="AB35" s="277">
        <f>SQRT(((T35+Q35)/(T35*Q35)) + ((AA35^2)/(T35+Q35-2)))</f>
        <v>6.0223198344452319E-2</v>
      </c>
      <c r="AC35" s="207"/>
      <c r="AD35" s="207"/>
      <c r="AE35" s="276"/>
      <c r="AF35" s="279"/>
      <c r="AG35" s="279"/>
      <c r="AH35" s="281"/>
      <c r="AI35" s="306"/>
      <c r="AJ35" s="281"/>
      <c r="AK35" s="307"/>
      <c r="AL35" s="282"/>
      <c r="AM35" s="281"/>
      <c r="AN35" s="306"/>
      <c r="AO35" s="281"/>
      <c r="AP35" s="282"/>
      <c r="AR35" s="281"/>
      <c r="AS35" s="283"/>
      <c r="AT35" s="281"/>
      <c r="AU35" s="283"/>
      <c r="AV35" s="283"/>
      <c r="AW35" s="281"/>
      <c r="AX35" s="283"/>
      <c r="AY35" s="281"/>
      <c r="AZ35" s="283"/>
      <c r="BA35" s="283"/>
      <c r="BB35" s="281"/>
      <c r="BD35" s="281"/>
      <c r="BE35" s="307"/>
      <c r="BH35" s="283"/>
      <c r="BJ35" s="282"/>
      <c r="BK35" s="308"/>
      <c r="BM35" s="283"/>
      <c r="BO35" s="283"/>
      <c r="BQ35" s="282"/>
    </row>
    <row r="36" spans="1:69" s="280" customFormat="1" ht="25.5" hidden="1" customHeight="1" x14ac:dyDescent="0.15">
      <c r="A36" s="271"/>
      <c r="B36" s="272"/>
      <c r="C36" s="272"/>
      <c r="D36" s="273" t="s">
        <v>1005</v>
      </c>
      <c r="E36" s="272"/>
      <c r="F36" s="272"/>
      <c r="G36" s="272"/>
      <c r="H36" s="272"/>
      <c r="I36" s="284"/>
      <c r="J36" s="284"/>
      <c r="K36" s="284"/>
      <c r="L36" s="284"/>
      <c r="M36" s="271"/>
      <c r="N36" s="271"/>
      <c r="O36" s="275">
        <v>1894</v>
      </c>
      <c r="P36" s="275">
        <f>26.86*SQRT(Q36)</f>
        <v>632.20931533788712</v>
      </c>
      <c r="Q36" s="276">
        <v>554</v>
      </c>
      <c r="R36" s="275">
        <v>1997</v>
      </c>
      <c r="S36" s="275">
        <f>25.93*SQRT(T36)</f>
        <v>607.55932228877862</v>
      </c>
      <c r="T36" s="276">
        <v>549</v>
      </c>
      <c r="U36" s="277">
        <f>R36-O36</f>
        <v>103</v>
      </c>
      <c r="V36" s="277">
        <f>U36/R36</f>
        <v>5.1577366049073613E-2</v>
      </c>
      <c r="W36" s="277">
        <f>U36/S36</f>
        <v>0.16953077044720768</v>
      </c>
      <c r="X36" s="277">
        <f>SQRT(((T36-1)*S36^2 + (Q36-1)*P36^2)/(T36+Q36-2))</f>
        <v>620.06279227747507</v>
      </c>
      <c r="Y36" s="277">
        <f>SQRT(S36^2/T36 + P36^2/Q36)</f>
        <v>37.333959072136992</v>
      </c>
      <c r="Z36" s="277">
        <f>U36/Y36</f>
        <v>2.7588823301858376</v>
      </c>
      <c r="AA36" s="278">
        <f>U36/X36</f>
        <v>0.16611220876789523</v>
      </c>
      <c r="AB36" s="277">
        <f>SQRT(((T36+Q36)/(T36*Q36)) + ((AA36^2)/(T36+Q36-2)))</f>
        <v>6.0428551032940418E-2</v>
      </c>
      <c r="AC36" s="207"/>
      <c r="AD36" s="207"/>
      <c r="AE36" s="276"/>
      <c r="AF36" s="279"/>
      <c r="AG36" s="279"/>
      <c r="AH36" s="281"/>
      <c r="AI36" s="306"/>
      <c r="AJ36" s="281"/>
      <c r="AK36" s="307"/>
      <c r="AL36" s="282"/>
      <c r="AM36" s="281"/>
      <c r="AN36" s="306"/>
      <c r="AO36" s="281"/>
      <c r="AP36" s="282"/>
      <c r="AR36" s="281"/>
      <c r="AS36" s="283"/>
      <c r="AT36" s="281"/>
      <c r="AU36" s="283"/>
      <c r="AV36" s="283"/>
      <c r="AW36" s="281"/>
      <c r="AX36" s="283"/>
      <c r="AY36" s="281"/>
      <c r="AZ36" s="283"/>
      <c r="BA36" s="283"/>
      <c r="BB36" s="281"/>
      <c r="BD36" s="281"/>
      <c r="BE36" s="307"/>
      <c r="BH36" s="283"/>
      <c r="BJ36" s="282"/>
      <c r="BK36" s="308"/>
      <c r="BM36" s="283"/>
      <c r="BO36" s="283"/>
      <c r="BQ36" s="282"/>
    </row>
    <row r="37" spans="1:69" ht="25.5" customHeight="1" x14ac:dyDescent="0.15">
      <c r="B37" s="297"/>
      <c r="C37" s="297"/>
      <c r="D37" s="295"/>
      <c r="E37" s="295"/>
      <c r="F37" s="295"/>
      <c r="G37" s="295"/>
      <c r="H37" s="295"/>
      <c r="I37" s="139"/>
      <c r="J37" s="139"/>
      <c r="K37" s="139"/>
      <c r="L37" s="139"/>
      <c r="AC37" s="207"/>
      <c r="AD37" s="207"/>
    </row>
    <row r="38" spans="1:69" ht="16" x14ac:dyDescent="0.15">
      <c r="B38" s="314" t="s">
        <v>667</v>
      </c>
      <c r="C38" s="314"/>
      <c r="D38" s="314"/>
      <c r="E38" s="314"/>
      <c r="F38" s="314"/>
      <c r="G38" s="314"/>
      <c r="H38" s="314"/>
      <c r="I38" s="314"/>
      <c r="J38" s="314"/>
      <c r="K38" s="314"/>
      <c r="L38" s="314"/>
      <c r="AC38" s="207"/>
      <c r="AD38" s="207"/>
    </row>
    <row r="39" spans="1:69" s="244" customFormat="1" ht="57" customHeight="1" x14ac:dyDescent="0.15">
      <c r="A39" s="4"/>
      <c r="B39" s="296" t="s">
        <v>83</v>
      </c>
      <c r="C39" s="296" t="s">
        <v>198</v>
      </c>
      <c r="D39" s="296" t="s">
        <v>218</v>
      </c>
      <c r="E39" s="296" t="s">
        <v>287</v>
      </c>
      <c r="F39" s="296" t="s">
        <v>131</v>
      </c>
      <c r="G39" s="296" t="s">
        <v>220</v>
      </c>
      <c r="H39" s="296" t="s">
        <v>222</v>
      </c>
      <c r="I39" s="296" t="s">
        <v>210</v>
      </c>
      <c r="J39" s="296" t="s">
        <v>128</v>
      </c>
      <c r="K39" s="296" t="s">
        <v>228</v>
      </c>
      <c r="L39" s="296" t="s">
        <v>229</v>
      </c>
      <c r="M39" s="4"/>
      <c r="N39" s="4"/>
      <c r="O39" s="210"/>
      <c r="P39" s="210"/>
      <c r="Q39" s="210"/>
      <c r="R39" s="210"/>
      <c r="S39" s="210"/>
      <c r="T39" s="209"/>
      <c r="U39" s="215"/>
      <c r="V39" s="215"/>
      <c r="W39" s="215"/>
      <c r="X39" s="215"/>
      <c r="Y39" s="215"/>
      <c r="Z39" s="215"/>
      <c r="AA39" s="215"/>
      <c r="AB39" s="215"/>
      <c r="AC39" s="207"/>
      <c r="AD39" s="207"/>
      <c r="AE39" s="209"/>
      <c r="AF39" s="289"/>
      <c r="AG39" s="289"/>
      <c r="AH39" s="268"/>
      <c r="AI39" s="215"/>
      <c r="AJ39" s="268"/>
      <c r="AK39" s="301"/>
      <c r="AL39" s="269"/>
      <c r="AM39" s="268"/>
      <c r="AN39" s="215"/>
      <c r="AO39" s="268"/>
      <c r="AP39" s="269"/>
      <c r="AS39" s="270"/>
      <c r="AU39" s="270"/>
      <c r="AV39" s="270"/>
      <c r="AX39" s="270"/>
      <c r="AZ39" s="270"/>
      <c r="BA39" s="270"/>
      <c r="BB39" s="268"/>
      <c r="BD39" s="268"/>
      <c r="BE39" s="301"/>
      <c r="BH39" s="270"/>
      <c r="BJ39" s="269"/>
      <c r="BK39" s="302"/>
      <c r="BM39" s="270"/>
      <c r="BO39" s="270"/>
      <c r="BQ39" s="269"/>
    </row>
    <row r="40" spans="1:69" x14ac:dyDescent="0.15">
      <c r="B40" s="298" t="s">
        <v>57</v>
      </c>
      <c r="C40" s="298" t="s">
        <v>58</v>
      </c>
      <c r="D40" s="298" t="s">
        <v>59</v>
      </c>
      <c r="E40" s="298" t="s">
        <v>60</v>
      </c>
      <c r="F40" s="298" t="s">
        <v>91</v>
      </c>
      <c r="G40" s="298" t="s">
        <v>95</v>
      </c>
      <c r="H40" s="298" t="s">
        <v>171</v>
      </c>
      <c r="I40" s="298" t="s">
        <v>172</v>
      </c>
      <c r="J40" s="298" t="s">
        <v>661</v>
      </c>
      <c r="K40" s="298" t="s">
        <v>664</v>
      </c>
      <c r="L40" s="298" t="s">
        <v>665</v>
      </c>
      <c r="AC40" s="207"/>
      <c r="AD40" s="207"/>
    </row>
    <row r="41" spans="1:69" x14ac:dyDescent="0.15">
      <c r="B41" s="28"/>
      <c r="C41" s="28"/>
      <c r="D41" s="294"/>
      <c r="E41" s="294"/>
      <c r="F41" s="294"/>
      <c r="G41" s="294"/>
      <c r="H41" s="294"/>
      <c r="I41" s="294"/>
      <c r="J41" s="294"/>
      <c r="K41" s="294"/>
      <c r="L41" s="294"/>
      <c r="AC41" s="207"/>
      <c r="AD41" s="207"/>
    </row>
    <row r="42" spans="1:69" ht="32.25" customHeight="1" x14ac:dyDescent="0.15">
      <c r="B42" s="353" t="s">
        <v>85</v>
      </c>
      <c r="C42" s="353" t="s">
        <v>202</v>
      </c>
      <c r="D42" s="294" t="s">
        <v>676</v>
      </c>
      <c r="E42" s="294" t="s">
        <v>289</v>
      </c>
      <c r="F42" s="294">
        <v>13</v>
      </c>
      <c r="G42" s="294" t="s">
        <v>243</v>
      </c>
      <c r="H42" s="294" t="s">
        <v>242</v>
      </c>
      <c r="I42" s="135" t="s">
        <v>400</v>
      </c>
      <c r="J42" s="135" t="s">
        <v>429</v>
      </c>
      <c r="K42" s="135" t="s">
        <v>482</v>
      </c>
      <c r="L42" s="135" t="s">
        <v>637</v>
      </c>
      <c r="O42" s="213">
        <f>19/Q42</f>
        <v>7.5999999999999998E-2</v>
      </c>
      <c r="P42" s="213">
        <f>SQRT(O42*(1-O42))</f>
        <v>0.26499811320083017</v>
      </c>
      <c r="Q42" s="206">
        <v>250</v>
      </c>
      <c r="R42" s="213">
        <f>(39+47+44+55+56)/T42</f>
        <v>0.1928</v>
      </c>
      <c r="S42" s="213">
        <f>SQRT(R42*(1-R42))</f>
        <v>0.39449735106841977</v>
      </c>
      <c r="T42" s="206">
        <v>1250</v>
      </c>
      <c r="U42" s="207">
        <f t="shared" ref="U42:U55" si="27">R42-O42</f>
        <v>0.1168</v>
      </c>
      <c r="V42" s="207">
        <f t="shared" ref="V42:V55" si="28">U42/O42</f>
        <v>1.536842105263158</v>
      </c>
      <c r="W42" s="207">
        <f t="shared" ref="W42:W55" si="29">U42/P42</f>
        <v>0.44075785517568017</v>
      </c>
      <c r="X42" s="207">
        <f t="shared" ref="X42:X55" si="30">SQRT(((Q42-1)*P42^2 + (T42-1)*S42^2)/(Q42+T42-2))</f>
        <v>0.37607464872711155</v>
      </c>
      <c r="Y42" s="207">
        <f t="shared" ref="Y42:Y55" si="31">SQRT(P42^2/Q42 + S42^2/T42)</f>
        <v>2.013451087064198E-2</v>
      </c>
      <c r="Z42" s="207">
        <f t="shared" ref="Z42:Z55" si="32">U42/Y42</f>
        <v>5.8009852213646491</v>
      </c>
      <c r="AA42" s="208">
        <f t="shared" ref="AA42:AA55" si="33">U42/X42</f>
        <v>0.3105766378971021</v>
      </c>
      <c r="AB42" s="207">
        <f t="shared" ref="AB42:AB55" si="34">SQRT(((Q42+T42)/(Q42*T42)) + ((AA42^2)/(Q42+T42-2)))</f>
        <v>6.9745186835991499E-2</v>
      </c>
      <c r="AC42" s="207">
        <f t="shared" si="8"/>
        <v>205.57557609136231</v>
      </c>
      <c r="AD42" s="207">
        <f>AC42/SUM($AC$42:$AC$55)</f>
        <v>0.34434663721864567</v>
      </c>
      <c r="AE42" s="206">
        <v>13</v>
      </c>
      <c r="AF42" s="264">
        <f>AE42/SUM($AE$42:$AE$55)</f>
        <v>9.3256814921090381E-3</v>
      </c>
    </row>
    <row r="43" spans="1:69" ht="32.25" customHeight="1" x14ac:dyDescent="0.15">
      <c r="B43" s="318"/>
      <c r="C43" s="318"/>
      <c r="D43" s="294" t="s">
        <v>672</v>
      </c>
      <c r="E43" s="294" t="s">
        <v>293</v>
      </c>
      <c r="F43" s="294">
        <v>6</v>
      </c>
      <c r="G43" s="294" t="s">
        <v>413</v>
      </c>
      <c r="H43" s="294" t="s">
        <v>422</v>
      </c>
      <c r="I43" s="135" t="s">
        <v>401</v>
      </c>
      <c r="J43" s="135" t="s">
        <v>430</v>
      </c>
      <c r="K43" s="135" t="s">
        <v>483</v>
      </c>
      <c r="L43" s="135" t="s">
        <v>638</v>
      </c>
      <c r="O43" s="213">
        <v>36.61345</v>
      </c>
      <c r="P43" s="213">
        <v>8.4574979999999993</v>
      </c>
      <c r="Q43" s="206">
        <f>238/2</f>
        <v>119</v>
      </c>
      <c r="R43" s="213">
        <v>37.060980000000001</v>
      </c>
      <c r="S43" s="213">
        <v>9.5673949999999994</v>
      </c>
      <c r="T43" s="206">
        <f>246/2</f>
        <v>123</v>
      </c>
      <c r="U43" s="207">
        <f t="shared" si="27"/>
        <v>0.44753000000000043</v>
      </c>
      <c r="V43" s="207">
        <f t="shared" si="28"/>
        <v>1.222310380474936E-2</v>
      </c>
      <c r="W43" s="207">
        <f t="shared" si="29"/>
        <v>5.2915176568767791E-2</v>
      </c>
      <c r="X43" s="207">
        <f t="shared" si="30"/>
        <v>9.0387429735499172</v>
      </c>
      <c r="Y43" s="207">
        <f t="shared" si="31"/>
        <v>1.1598593438604126</v>
      </c>
      <c r="Z43" s="207">
        <f t="shared" si="32"/>
        <v>0.38584851031200557</v>
      </c>
      <c r="AA43" s="208">
        <f t="shared" si="33"/>
        <v>4.9512415754005612E-2</v>
      </c>
      <c r="AB43" s="207">
        <f t="shared" si="34"/>
        <v>0.12862214872443878</v>
      </c>
      <c r="AC43" s="207">
        <f t="shared" si="8"/>
        <v>60.446126958926421</v>
      </c>
      <c r="AD43" s="207">
        <f t="shared" ref="AD43:AD55" si="35">AC43/SUM($AC$42:$AC$55)</f>
        <v>0.10124948180588947</v>
      </c>
      <c r="AE43" s="206">
        <v>6</v>
      </c>
      <c r="AF43" s="264">
        <f t="shared" ref="AF43:AF55" si="36">AE43/SUM($AE$42:$AE$55)</f>
        <v>4.30416068866571E-3</v>
      </c>
    </row>
    <row r="44" spans="1:69" ht="32.25" customHeight="1" x14ac:dyDescent="0.15">
      <c r="B44" s="318"/>
      <c r="C44" s="318"/>
      <c r="D44" s="294" t="s">
        <v>389</v>
      </c>
      <c r="E44" s="294" t="s">
        <v>397</v>
      </c>
      <c r="F44" s="294">
        <v>452</v>
      </c>
      <c r="G44" s="294" t="s">
        <v>414</v>
      </c>
      <c r="H44" s="294" t="s">
        <v>257</v>
      </c>
      <c r="I44" s="135" t="s">
        <v>402</v>
      </c>
      <c r="J44" s="135" t="s">
        <v>431</v>
      </c>
      <c r="K44" s="135" t="s">
        <v>484</v>
      </c>
      <c r="L44" s="135" t="s">
        <v>639</v>
      </c>
      <c r="O44" s="213">
        <f>AVERAGE(56,52,46,45,41,38,37,34,32,26)</f>
        <v>40.700000000000003</v>
      </c>
      <c r="P44" s="213">
        <f>STDEV(56,52,46,45,41,38,37,34,32,26)</f>
        <v>9.2261705068908224</v>
      </c>
      <c r="Q44" s="206">
        <v>10</v>
      </c>
      <c r="R44" s="213">
        <f>AVERAGE(75,64,63,58,54,47,42,37,25)</f>
        <v>51.666666666666664</v>
      </c>
      <c r="S44" s="213">
        <f>STDEV(75,64,63,58,54,47,42,37,25)</f>
        <v>15.459624833740307</v>
      </c>
      <c r="T44" s="206">
        <v>9</v>
      </c>
      <c r="U44" s="207">
        <f t="shared" si="27"/>
        <v>10.966666666666661</v>
      </c>
      <c r="V44" s="207">
        <f t="shared" si="28"/>
        <v>0.26945126945126929</v>
      </c>
      <c r="W44" s="207">
        <f t="shared" si="29"/>
        <v>1.1886477340166108</v>
      </c>
      <c r="X44" s="207">
        <f t="shared" si="30"/>
        <v>12.55130647054907</v>
      </c>
      <c r="Y44" s="207">
        <f t="shared" si="31"/>
        <v>5.9218052802990542</v>
      </c>
      <c r="Z44" s="207">
        <f t="shared" si="32"/>
        <v>1.8519127441003664</v>
      </c>
      <c r="AA44" s="208">
        <f t="shared" si="33"/>
        <v>0.87374702326003462</v>
      </c>
      <c r="AB44" s="207">
        <f t="shared" si="34"/>
        <v>0.50598318674372267</v>
      </c>
      <c r="AC44" s="207">
        <f t="shared" si="8"/>
        <v>3.9059603292927996</v>
      </c>
      <c r="AD44" s="207">
        <f t="shared" si="35"/>
        <v>6.5426269505072911E-3</v>
      </c>
      <c r="AE44" s="206">
        <v>452</v>
      </c>
      <c r="AF44" s="264">
        <f t="shared" si="36"/>
        <v>0.32424677187948348</v>
      </c>
    </row>
    <row r="45" spans="1:69" ht="32.25" customHeight="1" x14ac:dyDescent="0.15">
      <c r="B45" s="318"/>
      <c r="C45" s="318"/>
      <c r="D45" s="294" t="s">
        <v>389</v>
      </c>
      <c r="E45" s="294" t="s">
        <v>397</v>
      </c>
      <c r="F45" s="294">
        <v>452</v>
      </c>
      <c r="G45" s="294" t="s">
        <v>414</v>
      </c>
      <c r="H45" s="294" t="s">
        <v>423</v>
      </c>
      <c r="I45" s="135" t="s">
        <v>403</v>
      </c>
      <c r="J45" s="135" t="s">
        <v>432</v>
      </c>
      <c r="K45" s="135" t="s">
        <v>485</v>
      </c>
      <c r="L45" s="135" t="s">
        <v>640</v>
      </c>
      <c r="O45" s="213">
        <v>6.6</v>
      </c>
      <c r="P45" s="213">
        <v>2.2709999999999999</v>
      </c>
      <c r="Q45" s="206">
        <v>10</v>
      </c>
      <c r="R45" s="213">
        <v>10</v>
      </c>
      <c r="S45" s="213">
        <v>2.23</v>
      </c>
      <c r="T45" s="206">
        <v>13</v>
      </c>
      <c r="U45" s="207">
        <f t="shared" si="27"/>
        <v>3.4000000000000004</v>
      </c>
      <c r="V45" s="207">
        <f t="shared" si="28"/>
        <v>0.51515151515151525</v>
      </c>
      <c r="W45" s="207">
        <f t="shared" si="29"/>
        <v>1.4971378247468079</v>
      </c>
      <c r="X45" s="207">
        <f t="shared" si="30"/>
        <v>2.2476630085491021</v>
      </c>
      <c r="Y45" s="207">
        <f t="shared" si="31"/>
        <v>0.94777363818095783</v>
      </c>
      <c r="Z45" s="207">
        <f t="shared" si="32"/>
        <v>3.5873544726624274</v>
      </c>
      <c r="AA45" s="208">
        <f t="shared" si="33"/>
        <v>1.5126822780229621</v>
      </c>
      <c r="AB45" s="207">
        <f t="shared" si="34"/>
        <v>0.53468247317936957</v>
      </c>
      <c r="AC45" s="207">
        <f t="shared" si="8"/>
        <v>3.4979057515740282</v>
      </c>
      <c r="AD45" s="207">
        <f t="shared" si="35"/>
        <v>5.8591205519812001E-3</v>
      </c>
      <c r="AE45" s="206">
        <v>452</v>
      </c>
      <c r="AF45" s="264">
        <f t="shared" si="36"/>
        <v>0.32424677187948348</v>
      </c>
    </row>
    <row r="46" spans="1:69" ht="32.25" customHeight="1" x14ac:dyDescent="0.15">
      <c r="B46" s="318"/>
      <c r="C46" s="318"/>
      <c r="D46" s="294" t="s">
        <v>390</v>
      </c>
      <c r="E46" s="294" t="s">
        <v>398</v>
      </c>
      <c r="F46" s="294">
        <v>11</v>
      </c>
      <c r="G46" s="294" t="s">
        <v>415</v>
      </c>
      <c r="H46" s="140" t="s">
        <v>424</v>
      </c>
      <c r="I46" s="135" t="s">
        <v>404</v>
      </c>
      <c r="J46" s="135" t="s">
        <v>433</v>
      </c>
      <c r="K46" s="135" t="s">
        <v>486</v>
      </c>
      <c r="L46" s="135" t="s">
        <v>641</v>
      </c>
      <c r="O46" s="213">
        <v>1063.6400000000001</v>
      </c>
      <c r="P46" s="213">
        <v>269.95999999999998</v>
      </c>
      <c r="Q46" s="206">
        <v>66</v>
      </c>
      <c r="R46" s="213">
        <v>1153.06</v>
      </c>
      <c r="S46" s="213">
        <v>323.23</v>
      </c>
      <c r="T46" s="206">
        <v>18</v>
      </c>
      <c r="U46" s="207">
        <f t="shared" si="27"/>
        <v>89.419999999999845</v>
      </c>
      <c r="V46" s="207">
        <f t="shared" si="28"/>
        <v>8.4069798051972316E-2</v>
      </c>
      <c r="W46" s="207">
        <f t="shared" si="29"/>
        <v>0.33123425692695158</v>
      </c>
      <c r="X46" s="207">
        <f t="shared" si="30"/>
        <v>281.83232913837435</v>
      </c>
      <c r="Y46" s="207">
        <f t="shared" si="31"/>
        <v>83.117574224405118</v>
      </c>
      <c r="Z46" s="207">
        <f t="shared" si="32"/>
        <v>1.0758254296327165</v>
      </c>
      <c r="AA46" s="208">
        <f t="shared" si="33"/>
        <v>0.31728084664160838</v>
      </c>
      <c r="AB46" s="207">
        <f t="shared" si="34"/>
        <v>0.26820648519890222</v>
      </c>
      <c r="AC46" s="207">
        <f t="shared" si="8"/>
        <v>13.90149315982222</v>
      </c>
      <c r="AD46" s="207">
        <f t="shared" si="35"/>
        <v>2.3285511406157353E-2</v>
      </c>
      <c r="AE46" s="206">
        <v>11</v>
      </c>
      <c r="AF46" s="264">
        <f t="shared" si="36"/>
        <v>7.8909612625538018E-3</v>
      </c>
    </row>
    <row r="47" spans="1:69" ht="32.25" customHeight="1" x14ac:dyDescent="0.15">
      <c r="B47" s="318"/>
      <c r="C47" s="318"/>
      <c r="D47" s="294" t="s">
        <v>391</v>
      </c>
      <c r="E47" s="294" t="s">
        <v>293</v>
      </c>
      <c r="F47" s="294">
        <v>24</v>
      </c>
      <c r="G47" s="294" t="s">
        <v>416</v>
      </c>
      <c r="H47" s="294" t="s">
        <v>257</v>
      </c>
      <c r="I47" s="135" t="s">
        <v>405</v>
      </c>
      <c r="J47" s="135" t="s">
        <v>434</v>
      </c>
      <c r="K47" s="135" t="s">
        <v>487</v>
      </c>
      <c r="L47" s="135" t="s">
        <v>642</v>
      </c>
      <c r="O47" s="213">
        <v>29.71</v>
      </c>
      <c r="P47" s="213">
        <v>16.12</v>
      </c>
      <c r="Q47" s="206">
        <v>14</v>
      </c>
      <c r="R47" s="213">
        <v>23.47</v>
      </c>
      <c r="S47" s="213">
        <v>11.47</v>
      </c>
      <c r="T47" s="206">
        <v>15</v>
      </c>
      <c r="U47" s="207">
        <f t="shared" si="27"/>
        <v>-6.240000000000002</v>
      </c>
      <c r="V47" s="207">
        <f t="shared" si="28"/>
        <v>-0.2100302928306968</v>
      </c>
      <c r="W47" s="207">
        <f t="shared" si="29"/>
        <v>-0.38709677419354849</v>
      </c>
      <c r="X47" s="207">
        <f t="shared" si="30"/>
        <v>13.904382202904396</v>
      </c>
      <c r="Y47" s="207">
        <f t="shared" si="31"/>
        <v>5.227978121424691</v>
      </c>
      <c r="Z47" s="207">
        <f t="shared" si="32"/>
        <v>-1.1935780630810142</v>
      </c>
      <c r="AA47" s="208">
        <f t="shared" si="33"/>
        <v>-0.44877937825217212</v>
      </c>
      <c r="AB47" s="207">
        <f t="shared" si="34"/>
        <v>0.38151619347777582</v>
      </c>
      <c r="AC47" s="207">
        <f t="shared" si="8"/>
        <v>6.8702738323841146</v>
      </c>
      <c r="AD47" s="207">
        <f t="shared" si="35"/>
        <v>1.1507960896586924E-2</v>
      </c>
      <c r="AE47" s="206">
        <v>24</v>
      </c>
      <c r="AF47" s="264">
        <f t="shared" si="36"/>
        <v>1.721664275466284E-2</v>
      </c>
    </row>
    <row r="48" spans="1:69" ht="38.25" customHeight="1" x14ac:dyDescent="0.15">
      <c r="B48" s="318"/>
      <c r="C48" s="318"/>
      <c r="D48" s="294" t="s">
        <v>391</v>
      </c>
      <c r="E48" s="294" t="s">
        <v>293</v>
      </c>
      <c r="F48" s="294">
        <v>24</v>
      </c>
      <c r="G48" s="294" t="s">
        <v>416</v>
      </c>
      <c r="H48" s="294" t="s">
        <v>257</v>
      </c>
      <c r="I48" s="135" t="s">
        <v>406</v>
      </c>
      <c r="J48" s="135" t="s">
        <v>435</v>
      </c>
      <c r="K48" s="135" t="s">
        <v>488</v>
      </c>
      <c r="L48" s="135" t="s">
        <v>643</v>
      </c>
      <c r="O48" s="213">
        <v>24.38</v>
      </c>
      <c r="P48" s="213">
        <v>9.2100000000000009</v>
      </c>
      <c r="Q48" s="206">
        <v>15</v>
      </c>
      <c r="R48" s="213">
        <v>28.36</v>
      </c>
      <c r="S48" s="213">
        <v>8.42</v>
      </c>
      <c r="T48" s="206">
        <v>15</v>
      </c>
      <c r="U48" s="207">
        <f t="shared" si="27"/>
        <v>3.9800000000000004</v>
      </c>
      <c r="V48" s="207">
        <f t="shared" si="28"/>
        <v>0.1632485643970468</v>
      </c>
      <c r="W48" s="207">
        <f t="shared" si="29"/>
        <v>0.43213897937024975</v>
      </c>
      <c r="X48" s="207">
        <f t="shared" si="30"/>
        <v>8.8238455335528183</v>
      </c>
      <c r="Y48" s="207">
        <f t="shared" si="31"/>
        <v>3.2220128284453908</v>
      </c>
      <c r="Z48" s="207">
        <f t="shared" si="32"/>
        <v>1.2352526857940338</v>
      </c>
      <c r="AA48" s="208">
        <f t="shared" si="33"/>
        <v>0.45105050681882231</v>
      </c>
      <c r="AB48" s="207">
        <f t="shared" si="34"/>
        <v>0.37496570762417963</v>
      </c>
      <c r="AC48" s="207">
        <f t="shared" si="8"/>
        <v>7.1124118596366079</v>
      </c>
      <c r="AD48" s="207">
        <f t="shared" si="35"/>
        <v>1.1913550981812307E-2</v>
      </c>
      <c r="AE48" s="206">
        <v>24</v>
      </c>
      <c r="AF48" s="264">
        <f t="shared" si="36"/>
        <v>1.721664275466284E-2</v>
      </c>
    </row>
    <row r="49" spans="1:69" ht="49.5" customHeight="1" x14ac:dyDescent="0.15">
      <c r="B49" s="318"/>
      <c r="C49" s="318"/>
      <c r="D49" s="294" t="s">
        <v>392</v>
      </c>
      <c r="E49" s="294" t="s">
        <v>293</v>
      </c>
      <c r="F49" s="294">
        <v>20</v>
      </c>
      <c r="G49" s="294" t="s">
        <v>417</v>
      </c>
      <c r="H49" s="294" t="s">
        <v>425</v>
      </c>
      <c r="I49" s="135" t="s">
        <v>407</v>
      </c>
      <c r="J49" s="135" t="s">
        <v>436</v>
      </c>
      <c r="K49" s="135" t="s">
        <v>489</v>
      </c>
      <c r="L49" s="135" t="s">
        <v>644</v>
      </c>
      <c r="O49" s="213">
        <v>192.51</v>
      </c>
      <c r="P49" s="213">
        <v>48.2</v>
      </c>
      <c r="Q49" s="206">
        <v>43</v>
      </c>
      <c r="R49" s="213">
        <v>201.95</v>
      </c>
      <c r="S49" s="213">
        <v>56.2</v>
      </c>
      <c r="T49" s="206">
        <v>44</v>
      </c>
      <c r="U49" s="207">
        <f t="shared" si="27"/>
        <v>9.4399999999999977</v>
      </c>
      <c r="V49" s="207">
        <f t="shared" si="28"/>
        <v>4.9036413692795169E-2</v>
      </c>
      <c r="W49" s="207">
        <f t="shared" si="29"/>
        <v>0.19585062240663895</v>
      </c>
      <c r="X49" s="207">
        <f t="shared" si="30"/>
        <v>52.399932644770367</v>
      </c>
      <c r="Y49" s="207">
        <f t="shared" si="31"/>
        <v>11.216575434687256</v>
      </c>
      <c r="Z49" s="207">
        <f t="shared" si="32"/>
        <v>0.8416116001686933</v>
      </c>
      <c r="AA49" s="208">
        <f t="shared" si="33"/>
        <v>0.1801529033251941</v>
      </c>
      <c r="AB49" s="207">
        <f t="shared" si="34"/>
        <v>0.21532512862403028</v>
      </c>
      <c r="AC49" s="207">
        <f t="shared" si="8"/>
        <v>21.568034491305507</v>
      </c>
      <c r="AD49" s="207">
        <f t="shared" si="35"/>
        <v>3.6127249596985905E-2</v>
      </c>
      <c r="AE49" s="206">
        <v>20</v>
      </c>
      <c r="AF49" s="264">
        <f t="shared" si="36"/>
        <v>1.4347202295552367E-2</v>
      </c>
    </row>
    <row r="50" spans="1:69" ht="48" customHeight="1" x14ac:dyDescent="0.15">
      <c r="B50" s="318"/>
      <c r="C50" s="318"/>
      <c r="D50" s="294" t="s">
        <v>392</v>
      </c>
      <c r="E50" s="294" t="s">
        <v>293</v>
      </c>
      <c r="F50" s="294">
        <v>20</v>
      </c>
      <c r="G50" s="294" t="s">
        <v>417</v>
      </c>
      <c r="H50" s="294" t="s">
        <v>425</v>
      </c>
      <c r="I50" s="135" t="s">
        <v>408</v>
      </c>
      <c r="J50" s="135" t="s">
        <v>437</v>
      </c>
      <c r="K50" s="135" t="s">
        <v>490</v>
      </c>
      <c r="L50" s="135" t="s">
        <v>645</v>
      </c>
      <c r="O50" s="213">
        <v>190.79</v>
      </c>
      <c r="P50" s="213">
        <v>66.58</v>
      </c>
      <c r="Q50" s="206">
        <v>53</v>
      </c>
      <c r="R50" s="213">
        <v>203.94</v>
      </c>
      <c r="S50" s="213">
        <v>50.91</v>
      </c>
      <c r="T50" s="206">
        <v>52</v>
      </c>
      <c r="U50" s="207">
        <f t="shared" si="27"/>
        <v>13.150000000000006</v>
      </c>
      <c r="V50" s="207">
        <f t="shared" si="28"/>
        <v>6.8923947796006108E-2</v>
      </c>
      <c r="W50" s="207">
        <f t="shared" si="29"/>
        <v>0.19750675878642243</v>
      </c>
      <c r="X50" s="207">
        <f t="shared" si="30"/>
        <v>59.340538207512758</v>
      </c>
      <c r="Y50" s="207">
        <f t="shared" si="31"/>
        <v>11.553458477611983</v>
      </c>
      <c r="Z50" s="207">
        <f t="shared" si="32"/>
        <v>1.1381873250751506</v>
      </c>
      <c r="AA50" s="208">
        <f t="shared" si="33"/>
        <v>0.22160230421258906</v>
      </c>
      <c r="AB50" s="207">
        <f t="shared" si="34"/>
        <v>0.19640638073238531</v>
      </c>
      <c r="AC50" s="207">
        <f t="shared" si="8"/>
        <v>25.923212173972676</v>
      </c>
      <c r="AD50" s="207">
        <f t="shared" si="35"/>
        <v>4.3422332106445284E-2</v>
      </c>
      <c r="AE50" s="206">
        <v>20</v>
      </c>
      <c r="AF50" s="264">
        <f t="shared" si="36"/>
        <v>1.4347202295552367E-2</v>
      </c>
    </row>
    <row r="51" spans="1:69" ht="37.5" customHeight="1" x14ac:dyDescent="0.15">
      <c r="B51" s="318"/>
      <c r="C51" s="318"/>
      <c r="D51" s="294" t="s">
        <v>393</v>
      </c>
      <c r="E51" s="294" t="s">
        <v>399</v>
      </c>
      <c r="F51" s="294">
        <v>207</v>
      </c>
      <c r="G51" s="294" t="s">
        <v>419</v>
      </c>
      <c r="H51" s="294" t="s">
        <v>257</v>
      </c>
      <c r="I51" s="135" t="s">
        <v>361</v>
      </c>
      <c r="J51" s="135" t="s">
        <v>438</v>
      </c>
      <c r="K51" s="135" t="s">
        <v>491</v>
      </c>
      <c r="L51" s="135" t="s">
        <v>646</v>
      </c>
      <c r="O51" s="213">
        <f>AVERAGE(4570,5122,5327,6862,7177,7208,7217,7581,8157,8607,8646,8688,8919,9443,9651,10224,12320,4552,6575,6741,7114,7247,7348,7847,7936,8277,8658,9396,9422,9464,10365,10392,10865,10964,12034)</f>
        <v>8311.8857142857141</v>
      </c>
      <c r="P51" s="213">
        <f>STDEV(4570,5122,5327,6862,7177,7208,7217,7581,8157,8607,8646,8688,8919,9443,9651,10224,12320,4552,6575,6741,7114,7247,7348,7847,7936,8277,8658,9396,9422,9464,10365,10392,10865,10964,12034)</f>
        <v>1926.8679214088916</v>
      </c>
      <c r="Q51" s="206">
        <v>35</v>
      </c>
      <c r="R51" s="213">
        <f>AVERAGE(4470,6010,6426,7763,7801,7804,7823,7883,7959,8084,8180,9464,9707,10774,11150,14098,4611,4941,5840,6686,6816,7266,7690,7761,8254,8397,10126,10218,10289,10928,11082,12345,12965,15603)</f>
        <v>8741.5882352941171</v>
      </c>
      <c r="S51" s="213">
        <f>STDEV(4470,6010,6426,7763,7801,7804,7823,7883,7959,8084,8180,9464,9707,10774,11150,14098,4611,4941,5840,6686,6816,7266,7690,7761,8254,8397,10126,10218,10289,10928,11082,12345,12965,15603)</f>
        <v>2604.8810839797634</v>
      </c>
      <c r="T51" s="206">
        <v>34</v>
      </c>
      <c r="U51" s="207">
        <f t="shared" si="27"/>
        <v>429.70252100840298</v>
      </c>
      <c r="V51" s="207">
        <f t="shared" si="28"/>
        <v>5.1697356746600753E-2</v>
      </c>
      <c r="W51" s="207">
        <f t="shared" si="29"/>
        <v>0.22300569553008706</v>
      </c>
      <c r="X51" s="207">
        <f t="shared" si="30"/>
        <v>2286.0846401136278</v>
      </c>
      <c r="Y51" s="207">
        <f t="shared" si="31"/>
        <v>552.85741373090877</v>
      </c>
      <c r="Z51" s="207">
        <f t="shared" si="32"/>
        <v>0.77723932127199669</v>
      </c>
      <c r="AA51" s="208">
        <f t="shared" si="33"/>
        <v>0.18796439706057647</v>
      </c>
      <c r="AB51" s="207">
        <f t="shared" si="34"/>
        <v>0.24188947038413863</v>
      </c>
      <c r="AC51" s="207">
        <f t="shared" si="8"/>
        <v>17.090944848349</v>
      </c>
      <c r="AD51" s="207">
        <f t="shared" si="35"/>
        <v>2.8627960078306178E-2</v>
      </c>
      <c r="AE51" s="246">
        <v>207</v>
      </c>
      <c r="AF51" s="264">
        <f t="shared" si="36"/>
        <v>0.14849354375896701</v>
      </c>
    </row>
    <row r="52" spans="1:69" ht="36.75" customHeight="1" x14ac:dyDescent="0.15">
      <c r="B52" s="318"/>
      <c r="C52" s="318"/>
      <c r="D52" s="294" t="s">
        <v>412</v>
      </c>
      <c r="E52" s="294" t="s">
        <v>289</v>
      </c>
      <c r="F52" s="294">
        <v>103</v>
      </c>
      <c r="G52" s="294" t="s">
        <v>419</v>
      </c>
      <c r="H52" s="294" t="s">
        <v>257</v>
      </c>
      <c r="I52" s="135" t="s">
        <v>426</v>
      </c>
      <c r="J52" s="135" t="s">
        <v>439</v>
      </c>
      <c r="K52" s="135" t="s">
        <v>492</v>
      </c>
      <c r="L52" s="135" t="s">
        <v>647</v>
      </c>
      <c r="O52" s="213">
        <v>219.4</v>
      </c>
      <c r="P52" s="213">
        <f>28.714*SQRT(Q52)</f>
        <v>143.57</v>
      </c>
      <c r="Q52" s="206">
        <v>25</v>
      </c>
      <c r="R52" s="213">
        <v>218.6</v>
      </c>
      <c r="S52" s="213">
        <f>28.714*SQRT(T52)</f>
        <v>134.68059812756997</v>
      </c>
      <c r="T52" s="206">
        <v>22</v>
      </c>
      <c r="U52" s="207">
        <f t="shared" si="27"/>
        <v>-0.80000000000001137</v>
      </c>
      <c r="V52" s="207">
        <f t="shared" si="28"/>
        <v>-3.646308113035603E-3</v>
      </c>
      <c r="W52" s="207">
        <f t="shared" si="29"/>
        <v>-5.5721947482065297E-3</v>
      </c>
      <c r="X52" s="207">
        <f t="shared" si="30"/>
        <v>139.4921273248064</v>
      </c>
      <c r="Y52" s="207">
        <f t="shared" si="31"/>
        <v>40.607728229981049</v>
      </c>
      <c r="Z52" s="207">
        <f t="shared" si="32"/>
        <v>-1.9700683462744516E-2</v>
      </c>
      <c r="AA52" s="208">
        <f t="shared" si="33"/>
        <v>-5.7350906846320949E-3</v>
      </c>
      <c r="AB52" s="207">
        <f t="shared" si="34"/>
        <v>0.29232734454981973</v>
      </c>
      <c r="AC52" s="207">
        <f t="shared" si="8"/>
        <v>11.70202756880831</v>
      </c>
      <c r="AD52" s="207">
        <f t="shared" si="35"/>
        <v>1.9601325792555253E-2</v>
      </c>
      <c r="AE52" s="206">
        <v>103</v>
      </c>
      <c r="AF52" s="264">
        <f t="shared" si="36"/>
        <v>7.3888091822094687E-2</v>
      </c>
    </row>
    <row r="53" spans="1:69" ht="40.5" customHeight="1" x14ac:dyDescent="0.15">
      <c r="B53" s="318"/>
      <c r="C53" s="318"/>
      <c r="D53" s="294" t="s">
        <v>394</v>
      </c>
      <c r="E53" s="294" t="s">
        <v>293</v>
      </c>
      <c r="F53" s="294">
        <v>5</v>
      </c>
      <c r="G53" s="294" t="s">
        <v>418</v>
      </c>
      <c r="H53" s="294" t="s">
        <v>257</v>
      </c>
      <c r="I53" s="135" t="s">
        <v>409</v>
      </c>
      <c r="J53" s="135" t="s">
        <v>440</v>
      </c>
      <c r="K53" s="135" t="s">
        <v>493</v>
      </c>
      <c r="L53" s="135" t="s">
        <v>648</v>
      </c>
      <c r="O53" s="213">
        <v>17591</v>
      </c>
      <c r="P53" s="213">
        <v>6917</v>
      </c>
      <c r="Q53" s="206">
        <v>131</v>
      </c>
      <c r="R53" s="213">
        <f>(17361*207 + 17164*111)/T53</f>
        <v>17292.235849056604</v>
      </c>
      <c r="S53" s="213">
        <f>SQRT((6560^2*206 + 5587^2*110)/(T53-2))</f>
        <v>6238.5399211755685</v>
      </c>
      <c r="T53" s="206">
        <f>207+111</f>
        <v>318</v>
      </c>
      <c r="U53" s="207">
        <f t="shared" si="27"/>
        <v>-298.76415094339609</v>
      </c>
      <c r="V53" s="207">
        <f t="shared" si="28"/>
        <v>-1.6983920808560975E-2</v>
      </c>
      <c r="W53" s="207">
        <f t="shared" si="29"/>
        <v>-4.3192735426253591E-2</v>
      </c>
      <c r="X53" s="207">
        <f t="shared" si="30"/>
        <v>6443.2263550240323</v>
      </c>
      <c r="Y53" s="207">
        <f t="shared" si="31"/>
        <v>698.29517313338579</v>
      </c>
      <c r="Z53" s="207">
        <f t="shared" si="32"/>
        <v>-0.42784793943624649</v>
      </c>
      <c r="AA53" s="208">
        <f t="shared" si="33"/>
        <v>-4.6368718787977728E-2</v>
      </c>
      <c r="AB53" s="207">
        <f t="shared" si="34"/>
        <v>0.10384147460262566</v>
      </c>
      <c r="AC53" s="207">
        <f t="shared" si="8"/>
        <v>92.738124060689103</v>
      </c>
      <c r="AD53" s="207">
        <f t="shared" si="35"/>
        <v>0.15533976248263881</v>
      </c>
      <c r="AE53" s="206">
        <v>5</v>
      </c>
      <c r="AF53" s="264">
        <f t="shared" si="36"/>
        <v>3.5868005738880918E-3</v>
      </c>
    </row>
    <row r="54" spans="1:69" ht="39.75" customHeight="1" x14ac:dyDescent="0.15">
      <c r="B54" s="318"/>
      <c r="C54" s="318"/>
      <c r="D54" s="294" t="s">
        <v>395</v>
      </c>
      <c r="E54" s="294" t="s">
        <v>291</v>
      </c>
      <c r="F54" s="294">
        <v>47</v>
      </c>
      <c r="G54" s="294" t="s">
        <v>420</v>
      </c>
      <c r="H54" s="294" t="s">
        <v>427</v>
      </c>
      <c r="I54" s="135" t="s">
        <v>411</v>
      </c>
      <c r="J54" s="135" t="s">
        <v>441</v>
      </c>
      <c r="K54" s="135" t="s">
        <v>494</v>
      </c>
      <c r="L54" s="135" t="s">
        <v>649</v>
      </c>
      <c r="O54" s="213">
        <v>5.3519399999999999</v>
      </c>
      <c r="P54" s="213">
        <v>0.38830300000000001</v>
      </c>
      <c r="Q54" s="206">
        <v>178</v>
      </c>
      <c r="R54" s="213">
        <v>5.3625699999999998</v>
      </c>
      <c r="S54" s="213">
        <v>0.40164909999999998</v>
      </c>
      <c r="T54" s="206">
        <v>181</v>
      </c>
      <c r="U54" s="207">
        <f t="shared" si="27"/>
        <v>1.0629999999999917E-2</v>
      </c>
      <c r="V54" s="207">
        <f t="shared" si="28"/>
        <v>1.9861956598915377E-3</v>
      </c>
      <c r="W54" s="207">
        <f t="shared" si="29"/>
        <v>2.737552890397426E-2</v>
      </c>
      <c r="X54" s="207">
        <f t="shared" si="30"/>
        <v>0.39508848004427327</v>
      </c>
      <c r="Y54" s="207">
        <f t="shared" si="31"/>
        <v>4.1693597037836379E-2</v>
      </c>
      <c r="Z54" s="207">
        <f t="shared" si="32"/>
        <v>0.25495521507423152</v>
      </c>
      <c r="AA54" s="208">
        <f t="shared" si="33"/>
        <v>2.690536560015298E-2</v>
      </c>
      <c r="AB54" s="207">
        <f t="shared" si="34"/>
        <v>0.10556925278691956</v>
      </c>
      <c r="AC54" s="207">
        <f t="shared" si="8"/>
        <v>89.727404371676897</v>
      </c>
      <c r="AD54" s="207">
        <f t="shared" si="35"/>
        <v>0.15029669647143828</v>
      </c>
      <c r="AE54" s="206">
        <v>47</v>
      </c>
      <c r="AF54" s="264">
        <f t="shared" si="36"/>
        <v>3.3715925394548062E-2</v>
      </c>
    </row>
    <row r="55" spans="1:69" ht="45.75" customHeight="1" x14ac:dyDescent="0.15">
      <c r="B55" s="318"/>
      <c r="C55" s="318"/>
      <c r="D55" s="294" t="s">
        <v>396</v>
      </c>
      <c r="E55" s="294" t="s">
        <v>291</v>
      </c>
      <c r="F55" s="294">
        <v>10</v>
      </c>
      <c r="G55" s="294" t="s">
        <v>421</v>
      </c>
      <c r="H55" s="294" t="s">
        <v>428</v>
      </c>
      <c r="I55" s="135" t="s">
        <v>410</v>
      </c>
      <c r="J55" s="135" t="s">
        <v>442</v>
      </c>
      <c r="K55" s="135" t="s">
        <v>495</v>
      </c>
      <c r="L55" s="135" t="s">
        <v>650</v>
      </c>
      <c r="O55" s="213">
        <f>(834.4*34 + 773.1*76)/Q55</f>
        <v>792.04727272727268</v>
      </c>
      <c r="P55" s="213">
        <f>SQRT(((73.74*SQRT(34))^2*33 + (47.29*SQRT(76))^2*75)/(Q55-2))</f>
        <v>417.75562874058858</v>
      </c>
      <c r="Q55" s="206">
        <v>110</v>
      </c>
      <c r="R55" s="213">
        <f>(861.8*18 + 973*40)/T55</f>
        <v>938.48965517241379</v>
      </c>
      <c r="S55" s="213">
        <f>SQRT(((76.39*SQRT(18))^2*17 + (72.13*SQRT(40))^2*39)/(T55-2))</f>
        <v>420.49952833759852</v>
      </c>
      <c r="T55" s="206">
        <v>58</v>
      </c>
      <c r="U55" s="207">
        <f t="shared" si="27"/>
        <v>146.44238244514111</v>
      </c>
      <c r="V55" s="207">
        <f t="shared" si="28"/>
        <v>0.18489096230442539</v>
      </c>
      <c r="W55" s="207">
        <f t="shared" si="29"/>
        <v>0.35054556389011965</v>
      </c>
      <c r="X55" s="207">
        <f t="shared" si="30"/>
        <v>418.69983830093901</v>
      </c>
      <c r="Y55" s="207">
        <f t="shared" si="31"/>
        <v>68.082020256541639</v>
      </c>
      <c r="Z55" s="207">
        <f t="shared" si="32"/>
        <v>2.1509699902166202</v>
      </c>
      <c r="AA55" s="208">
        <f t="shared" si="33"/>
        <v>0.34975504896155746</v>
      </c>
      <c r="AB55" s="207">
        <f t="shared" si="34"/>
        <v>0.16452722462823285</v>
      </c>
      <c r="AC55" s="207">
        <f t="shared" si="8"/>
        <v>36.942344717152956</v>
      </c>
      <c r="AD55" s="207">
        <f t="shared" si="35"/>
        <v>6.187978366004987E-2</v>
      </c>
      <c r="AE55" s="206">
        <v>10</v>
      </c>
      <c r="AF55" s="264">
        <f t="shared" si="36"/>
        <v>7.1736011477761836E-3</v>
      </c>
      <c r="AH55" s="265" t="s">
        <v>1008</v>
      </c>
      <c r="AI55" s="214">
        <f>SUMPRODUCT(AD42:AD55,AA42:AA55)</f>
        <v>0.17401902858336496</v>
      </c>
      <c r="AJ55" s="265" t="s">
        <v>1009</v>
      </c>
      <c r="AK55" s="299">
        <f>SQRT(SUMPRODUCT(AD42:AD55,AD42:AD55,AB42:AB55,AB42:AB55))</f>
        <v>4.0927212375772438E-2</v>
      </c>
      <c r="AM55" s="290" t="s">
        <v>998</v>
      </c>
      <c r="AN55" s="214">
        <f>SUMPRODUCT(AF42:AF55,AA42:AA55)</f>
        <v>0.81594583245797625</v>
      </c>
      <c r="AO55" s="265" t="s">
        <v>999</v>
      </c>
      <c r="AP55" s="266">
        <f>SQRT(SUMPRODUCT(AF42:AF55,AF42:AF55,AB42:AB55,AB42:AB55))</f>
        <v>0.24259444713639297</v>
      </c>
      <c r="AR55" s="265" t="s">
        <v>1000</v>
      </c>
      <c r="AS55" s="266">
        <f>AA56</f>
        <v>0.11403138610136927</v>
      </c>
      <c r="AT55" s="265" t="s">
        <v>1001</v>
      </c>
      <c r="AU55" s="266">
        <f>AB56</f>
        <v>6.0817109810338998E-2</v>
      </c>
      <c r="AV55" s="266"/>
      <c r="AW55" s="265" t="s">
        <v>1002</v>
      </c>
      <c r="AX55" s="266">
        <f>AA57</f>
        <v>0.26466543934638792</v>
      </c>
      <c r="AY55" s="265" t="s">
        <v>1003</v>
      </c>
      <c r="AZ55" s="266">
        <f>AB57</f>
        <v>6.1248621546986876E-2</v>
      </c>
      <c r="BA55" s="266"/>
      <c r="BB55" s="265" t="s">
        <v>1010</v>
      </c>
      <c r="BC55" s="245">
        <f>O56+AI55*X56</f>
        <v>1644.6110670681683</v>
      </c>
      <c r="BD55" s="265" t="s">
        <v>1011</v>
      </c>
      <c r="BE55" s="299">
        <f>X56*AK55</f>
        <v>29.071857457652705</v>
      </c>
      <c r="BG55" s="265" t="s">
        <v>1012</v>
      </c>
      <c r="BH55" s="243">
        <f>O56+AN55*X56</f>
        <v>2100.591415036763</v>
      </c>
      <c r="BI55" s="265" t="s">
        <v>1013</v>
      </c>
      <c r="BJ55" s="266">
        <f>X56*AP55</f>
        <v>172.32229555273182</v>
      </c>
      <c r="BL55" s="290" t="s">
        <v>1014</v>
      </c>
      <c r="BM55" s="304">
        <v>207.12</v>
      </c>
      <c r="BN55" s="290" t="s">
        <v>1015</v>
      </c>
      <c r="BO55" s="309">
        <v>208</v>
      </c>
      <c r="BP55" s="305" t="s">
        <v>1016</v>
      </c>
      <c r="BQ55" s="266">
        <f>BM55/SQRT(BO55)</f>
        <v>14.361188080271184</v>
      </c>
    </row>
    <row r="56" spans="1:69" s="280" customFormat="1" ht="45.75" hidden="1" customHeight="1" x14ac:dyDescent="0.15">
      <c r="A56" s="271"/>
      <c r="B56" s="272"/>
      <c r="C56" s="272"/>
      <c r="D56" s="273" t="s">
        <v>1004</v>
      </c>
      <c r="E56" s="272"/>
      <c r="F56" s="272"/>
      <c r="G56" s="272"/>
      <c r="H56" s="272"/>
      <c r="I56" s="285"/>
      <c r="J56" s="285"/>
      <c r="K56" s="285"/>
      <c r="L56" s="285"/>
      <c r="M56" s="271"/>
      <c r="N56" s="271"/>
      <c r="O56" s="275">
        <v>1521</v>
      </c>
      <c r="P56" s="275">
        <f>31.22*SQRT(Q56)</f>
        <v>725.48724041157323</v>
      </c>
      <c r="Q56" s="276">
        <v>540</v>
      </c>
      <c r="R56" s="275">
        <v>1602</v>
      </c>
      <c r="S56" s="275">
        <f>29.77*SQRT(T56)</f>
        <v>694.98764773195785</v>
      </c>
      <c r="T56" s="276">
        <v>545</v>
      </c>
      <c r="U56" s="277">
        <f>R56-O56</f>
        <v>81</v>
      </c>
      <c r="V56" s="277">
        <f>U56/R56</f>
        <v>5.0561797752808987E-2</v>
      </c>
      <c r="W56" s="277">
        <f>U56/S56</f>
        <v>0.11654883401789611</v>
      </c>
      <c r="X56" s="277">
        <f>SQRT(((T56-1)*S56^2 + (Q56-1)*P56^2)/(T56+Q56-2))</f>
        <v>710.33074988665214</v>
      </c>
      <c r="Y56" s="277">
        <f>SQRT(S56^2/T56 + P56^2/Q56)</f>
        <v>43.138628860917677</v>
      </c>
      <c r="Z56" s="277">
        <f>U56/Y56</f>
        <v>1.8776674673910094</v>
      </c>
      <c r="AA56" s="278">
        <f>U56/X56</f>
        <v>0.11403138610136927</v>
      </c>
      <c r="AB56" s="277">
        <f>SQRT(((T56+Q56)/(T56*Q56)) + ((AA56^2)/(T56+Q56-2)))</f>
        <v>6.0817109810338998E-2</v>
      </c>
      <c r="AC56" s="207"/>
      <c r="AD56" s="207"/>
      <c r="AE56" s="276"/>
      <c r="AF56" s="279"/>
      <c r="AG56" s="279"/>
      <c r="AH56" s="291"/>
      <c r="AI56" s="306"/>
      <c r="AJ56" s="281"/>
      <c r="AK56" s="307"/>
      <c r="AL56" s="282"/>
      <c r="AM56" s="291"/>
      <c r="AN56" s="306"/>
      <c r="AO56" s="281"/>
      <c r="AP56" s="282"/>
      <c r="AR56" s="281"/>
      <c r="AS56" s="283"/>
      <c r="AT56" s="281"/>
      <c r="AU56" s="283"/>
      <c r="AV56" s="283"/>
      <c r="AW56" s="281"/>
      <c r="AX56" s="283"/>
      <c r="AY56" s="281"/>
      <c r="AZ56" s="283"/>
      <c r="BA56" s="283"/>
      <c r="BB56" s="281"/>
      <c r="BD56" s="281"/>
      <c r="BE56" s="307"/>
      <c r="BH56" s="283"/>
      <c r="BJ56" s="282"/>
      <c r="BK56" s="308"/>
      <c r="BM56" s="283"/>
      <c r="BO56" s="283"/>
      <c r="BQ56" s="282"/>
    </row>
    <row r="57" spans="1:69" s="280" customFormat="1" ht="45.75" hidden="1" customHeight="1" x14ac:dyDescent="0.15">
      <c r="A57" s="271"/>
      <c r="B57" s="272"/>
      <c r="C57" s="272"/>
      <c r="D57" s="273" t="s">
        <v>1005</v>
      </c>
      <c r="E57" s="272"/>
      <c r="F57" s="272"/>
      <c r="G57" s="272"/>
      <c r="H57" s="272"/>
      <c r="I57" s="285"/>
      <c r="J57" s="285"/>
      <c r="K57" s="285"/>
      <c r="L57" s="285"/>
      <c r="M57" s="271"/>
      <c r="N57" s="271"/>
      <c r="O57" s="275">
        <v>1521</v>
      </c>
      <c r="P57" s="275">
        <f>31.22*SQRT(Q57)</f>
        <v>725.48724041157323</v>
      </c>
      <c r="Q57" s="276">
        <v>540</v>
      </c>
      <c r="R57" s="275">
        <v>1709</v>
      </c>
      <c r="S57" s="275">
        <f>29.77*SQRT(T57)</f>
        <v>694.98764773195785</v>
      </c>
      <c r="T57" s="276">
        <v>545</v>
      </c>
      <c r="U57" s="277">
        <f>R57-O57</f>
        <v>188</v>
      </c>
      <c r="V57" s="277">
        <f>U57/R57</f>
        <v>0.11000585137507314</v>
      </c>
      <c r="W57" s="277">
        <f>U57/S57</f>
        <v>0.27050840488104277</v>
      </c>
      <c r="X57" s="277">
        <f>SQRT(((T57-1)*S57^2 + (Q57-1)*P57^2)/(T57+Q57-2))</f>
        <v>710.33074988665214</v>
      </c>
      <c r="Y57" s="277">
        <f>SQRT(S57^2/T57 + P57^2/Q57)</f>
        <v>43.138628860917677</v>
      </c>
      <c r="Z57" s="277">
        <f>U57/Y57</f>
        <v>4.3580430107346881</v>
      </c>
      <c r="AA57" s="278">
        <f>U57/X57</f>
        <v>0.26466543934638792</v>
      </c>
      <c r="AB57" s="277">
        <f>SQRT(((T57+Q57)/(T57*Q57)) + ((AA57^2)/(T57+Q57-2)))</f>
        <v>6.1248621546986876E-2</v>
      </c>
      <c r="AC57" s="207"/>
      <c r="AD57" s="207"/>
      <c r="AE57" s="276"/>
      <c r="AF57" s="279"/>
      <c r="AG57" s="279"/>
      <c r="AH57" s="291"/>
      <c r="AI57" s="306"/>
      <c r="AJ57" s="281"/>
      <c r="AK57" s="307"/>
      <c r="AL57" s="282"/>
      <c r="AM57" s="291"/>
      <c r="AN57" s="306"/>
      <c r="AO57" s="281"/>
      <c r="AP57" s="282"/>
      <c r="AR57" s="281"/>
      <c r="AS57" s="283"/>
      <c r="AT57" s="281"/>
      <c r="AU57" s="283"/>
      <c r="AV57" s="283"/>
      <c r="AW57" s="281"/>
      <c r="AX57" s="283"/>
      <c r="AY57" s="281"/>
      <c r="AZ57" s="283"/>
      <c r="BA57" s="283"/>
      <c r="BB57" s="281"/>
      <c r="BD57" s="281"/>
      <c r="BE57" s="307"/>
      <c r="BH57" s="283"/>
      <c r="BJ57" s="282"/>
      <c r="BK57" s="308"/>
      <c r="BM57" s="283"/>
      <c r="BO57" s="283"/>
      <c r="BQ57" s="282"/>
    </row>
    <row r="58" spans="1:69" ht="32.25" customHeight="1" x14ac:dyDescent="0.15">
      <c r="B58" s="157"/>
      <c r="C58" s="157"/>
      <c r="D58" s="295"/>
      <c r="E58" s="295"/>
      <c r="F58" s="295"/>
      <c r="G58" s="295"/>
      <c r="H58" s="295"/>
      <c r="I58" s="148"/>
      <c r="J58" s="148"/>
      <c r="K58" s="148"/>
      <c r="L58" s="148"/>
      <c r="AC58" s="207"/>
      <c r="AD58" s="207"/>
    </row>
    <row r="59" spans="1:69" ht="16" x14ac:dyDescent="0.15">
      <c r="B59" s="314" t="s">
        <v>668</v>
      </c>
      <c r="C59" s="314"/>
      <c r="D59" s="352"/>
      <c r="E59" s="352"/>
      <c r="F59" s="352"/>
      <c r="G59" s="352"/>
      <c r="H59" s="352"/>
      <c r="I59" s="352"/>
      <c r="J59" s="352"/>
      <c r="K59" s="352"/>
      <c r="L59" s="352"/>
      <c r="AC59" s="207"/>
      <c r="AD59" s="207"/>
    </row>
    <row r="60" spans="1:69" s="244" customFormat="1" ht="57" customHeight="1" x14ac:dyDescent="0.15">
      <c r="A60" s="4"/>
      <c r="B60" s="296" t="s">
        <v>83</v>
      </c>
      <c r="C60" s="296" t="s">
        <v>198</v>
      </c>
      <c r="D60" s="296" t="s">
        <v>218</v>
      </c>
      <c r="E60" s="296" t="s">
        <v>287</v>
      </c>
      <c r="F60" s="296" t="s">
        <v>131</v>
      </c>
      <c r="G60" s="296" t="s">
        <v>220</v>
      </c>
      <c r="H60" s="296" t="s">
        <v>222</v>
      </c>
      <c r="I60" s="296" t="s">
        <v>210</v>
      </c>
      <c r="J60" s="296" t="s">
        <v>128</v>
      </c>
      <c r="K60" s="296" t="s">
        <v>228</v>
      </c>
      <c r="L60" s="296" t="s">
        <v>229</v>
      </c>
      <c r="M60" s="4"/>
      <c r="N60" s="4"/>
      <c r="O60" s="210"/>
      <c r="P60" s="210"/>
      <c r="Q60" s="210"/>
      <c r="R60" s="210"/>
      <c r="S60" s="210"/>
      <c r="T60" s="209"/>
      <c r="U60" s="215"/>
      <c r="V60" s="215"/>
      <c r="W60" s="215"/>
      <c r="X60" s="215"/>
      <c r="Y60" s="215"/>
      <c r="Z60" s="215"/>
      <c r="AA60" s="215"/>
      <c r="AB60" s="215"/>
      <c r="AC60" s="207"/>
      <c r="AD60" s="207"/>
      <c r="AE60" s="209"/>
      <c r="AF60" s="289"/>
      <c r="AG60" s="289"/>
      <c r="AH60" s="268"/>
      <c r="AI60" s="215"/>
      <c r="AJ60" s="268"/>
      <c r="AK60" s="301"/>
      <c r="AL60" s="269"/>
      <c r="AM60" s="268"/>
      <c r="AN60" s="215"/>
      <c r="AO60" s="268"/>
      <c r="AP60" s="269"/>
      <c r="AS60" s="270"/>
      <c r="AU60" s="270"/>
      <c r="AV60" s="270"/>
      <c r="AX60" s="270"/>
      <c r="AZ60" s="270"/>
      <c r="BA60" s="270"/>
      <c r="BB60" s="268"/>
      <c r="BD60" s="268"/>
      <c r="BE60" s="301"/>
      <c r="BH60" s="270"/>
      <c r="BJ60" s="269"/>
      <c r="BK60" s="302"/>
      <c r="BM60" s="270"/>
      <c r="BO60" s="270"/>
      <c r="BQ60" s="269"/>
    </row>
    <row r="61" spans="1:69" x14ac:dyDescent="0.15">
      <c r="B61" s="298" t="s">
        <v>57</v>
      </c>
      <c r="C61" s="298" t="s">
        <v>58</v>
      </c>
      <c r="D61" s="298" t="s">
        <v>59</v>
      </c>
      <c r="E61" s="298" t="s">
        <v>60</v>
      </c>
      <c r="F61" s="298" t="s">
        <v>91</v>
      </c>
      <c r="G61" s="298" t="s">
        <v>95</v>
      </c>
      <c r="H61" s="298" t="s">
        <v>171</v>
      </c>
      <c r="I61" s="298" t="s">
        <v>172</v>
      </c>
      <c r="J61" s="298" t="s">
        <v>661</v>
      </c>
      <c r="K61" s="298" t="s">
        <v>664</v>
      </c>
      <c r="L61" s="298" t="s">
        <v>665</v>
      </c>
      <c r="AC61" s="207"/>
      <c r="AD61" s="207"/>
    </row>
    <row r="62" spans="1:69" ht="38.25" customHeight="1" x14ac:dyDescent="0.15">
      <c r="B62" s="354" t="s">
        <v>13</v>
      </c>
      <c r="C62" s="354" t="s">
        <v>207</v>
      </c>
      <c r="D62" s="294" t="s">
        <v>508</v>
      </c>
      <c r="E62" s="294" t="s">
        <v>516</v>
      </c>
      <c r="F62" s="294">
        <v>114</v>
      </c>
      <c r="G62" s="294" t="s">
        <v>524</v>
      </c>
      <c r="H62" s="294" t="s">
        <v>520</v>
      </c>
      <c r="I62" s="135" t="s">
        <v>541</v>
      </c>
      <c r="J62" s="135" t="s">
        <v>556</v>
      </c>
      <c r="K62" s="135" t="s">
        <v>567</v>
      </c>
      <c r="L62" s="135" t="s">
        <v>613</v>
      </c>
      <c r="O62" s="213">
        <v>9.9000000000000005E-2</v>
      </c>
      <c r="P62" s="213">
        <f t="shared" ref="P62:P76" si="37">SQRT(O62*(1-O62))</f>
        <v>0.29866201633284406</v>
      </c>
      <c r="Q62" s="206">
        <v>343</v>
      </c>
      <c r="R62" s="213">
        <v>0.06</v>
      </c>
      <c r="S62" s="213">
        <f t="shared" ref="S62:S76" si="38">SQRT(R62*(1-R62))</f>
        <v>0.23748684174075832</v>
      </c>
      <c r="T62" s="206">
        <v>696</v>
      </c>
      <c r="U62" s="207">
        <f t="shared" ref="U62:U76" si="39">R62-O62</f>
        <v>-3.9000000000000007E-2</v>
      </c>
      <c r="V62" s="207">
        <f t="shared" ref="V62:V76" si="40">U62/O62</f>
        <v>-0.39393939393939398</v>
      </c>
      <c r="W62" s="207">
        <f t="shared" ref="W62:W76" si="41">U62/P62</f>
        <v>-0.13058239035169586</v>
      </c>
      <c r="X62" s="207">
        <f t="shared" ref="X62:X76" si="42">SQRT(((Q62-1)*P62^2 + (T62-1)*S62^2)/(Q62+T62-2))</f>
        <v>0.25926246925709179</v>
      </c>
      <c r="Y62" s="207">
        <f t="shared" ref="Y62:Y76" si="43">SQRT(P62^2/Q62 + S62^2/T62)</f>
        <v>1.8468618690758293E-2</v>
      </c>
      <c r="Z62" s="207">
        <f t="shared" ref="Z62:Z76" si="44">U62/Y62</f>
        <v>-2.1116901406121742</v>
      </c>
      <c r="AA62" s="208">
        <f t="shared" ref="AA62:AA76" si="45">U62/X62</f>
        <v>-0.15042670893227719</v>
      </c>
      <c r="AB62" s="207">
        <f t="shared" ref="AB62:AB76" si="46">SQRT(((Q62+T62)/(Q62*T62)) + ((AA62^2)/(Q62+T62-2)))</f>
        <v>6.6136633785683546E-2</v>
      </c>
      <c r="AC62" s="207">
        <f t="shared" si="8"/>
        <v>228.62084576406284</v>
      </c>
      <c r="AD62" s="207">
        <f>AC62/SUM($AC$62:$AC$76)</f>
        <v>6.616293131007314E-3</v>
      </c>
      <c r="AE62" s="206">
        <v>114</v>
      </c>
      <c r="AF62" s="264">
        <f>AE62/SUM($AE$62:$AE$76)</f>
        <v>2.575107296137339E-2</v>
      </c>
    </row>
    <row r="63" spans="1:69" ht="39" customHeight="1" x14ac:dyDescent="0.15">
      <c r="B63" s="355"/>
      <c r="C63" s="355"/>
      <c r="D63" s="294" t="s">
        <v>508</v>
      </c>
      <c r="E63" s="294" t="s">
        <v>516</v>
      </c>
      <c r="F63" s="294">
        <v>114</v>
      </c>
      <c r="G63" s="294" t="s">
        <v>524</v>
      </c>
      <c r="H63" s="294" t="s">
        <v>521</v>
      </c>
      <c r="I63" s="135" t="s">
        <v>542</v>
      </c>
      <c r="J63" s="135" t="s">
        <v>556</v>
      </c>
      <c r="K63" s="135" t="s">
        <v>568</v>
      </c>
      <c r="L63" s="135" t="s">
        <v>614</v>
      </c>
      <c r="O63" s="213">
        <v>7.0000000000000001E-3</v>
      </c>
      <c r="P63" s="213">
        <f t="shared" si="37"/>
        <v>8.3372657388378832E-2</v>
      </c>
      <c r="Q63" s="206">
        <v>136</v>
      </c>
      <c r="R63" s="213">
        <v>2.7E-2</v>
      </c>
      <c r="S63" s="213">
        <f t="shared" si="38"/>
        <v>0.16208331191088118</v>
      </c>
      <c r="T63" s="206">
        <v>264</v>
      </c>
      <c r="U63" s="207">
        <f t="shared" si="39"/>
        <v>0.02</v>
      </c>
      <c r="V63" s="207">
        <f t="shared" si="40"/>
        <v>2.8571428571428572</v>
      </c>
      <c r="W63" s="207">
        <f t="shared" si="41"/>
        <v>0.23988680013919966</v>
      </c>
      <c r="X63" s="207">
        <f t="shared" si="42"/>
        <v>0.14041984784332204</v>
      </c>
      <c r="Y63" s="207">
        <f t="shared" si="43"/>
        <v>1.227280154463563E-2</v>
      </c>
      <c r="Z63" s="207">
        <f t="shared" si="44"/>
        <v>1.6296197675209605</v>
      </c>
      <c r="AA63" s="208">
        <f t="shared" si="45"/>
        <v>0.1424300076319385</v>
      </c>
      <c r="AB63" s="207">
        <f t="shared" si="46"/>
        <v>0.10579125949310939</v>
      </c>
      <c r="AC63" s="207">
        <f t="shared" si="8"/>
        <v>89.351207243629204</v>
      </c>
      <c r="AD63" s="207">
        <f t="shared" ref="AD63:AD76" si="47">AC63/SUM($AC$62:$AC$76)</f>
        <v>2.5858262257647644E-3</v>
      </c>
      <c r="AE63" s="206">
        <v>114</v>
      </c>
      <c r="AF63" s="264">
        <f t="shared" ref="AF63:AF76" si="48">AE63/SUM($AE$62:$AE$76)</f>
        <v>2.575107296137339E-2</v>
      </c>
    </row>
    <row r="64" spans="1:69" ht="37.5" customHeight="1" x14ac:dyDescent="0.15">
      <c r="B64" s="355"/>
      <c r="C64" s="355"/>
      <c r="D64" s="294" t="s">
        <v>508</v>
      </c>
      <c r="E64" s="294" t="s">
        <v>516</v>
      </c>
      <c r="F64" s="294">
        <v>114</v>
      </c>
      <c r="G64" s="294" t="s">
        <v>524</v>
      </c>
      <c r="H64" s="294" t="s">
        <v>522</v>
      </c>
      <c r="I64" s="135" t="s">
        <v>543</v>
      </c>
      <c r="J64" s="135" t="s">
        <v>556</v>
      </c>
      <c r="K64" s="135" t="s">
        <v>569</v>
      </c>
      <c r="L64" s="135" t="s">
        <v>615</v>
      </c>
      <c r="O64" s="213">
        <v>0.106</v>
      </c>
      <c r="P64" s="213">
        <f t="shared" si="37"/>
        <v>0.30783761953341571</v>
      </c>
      <c r="Q64" s="206">
        <v>235</v>
      </c>
      <c r="R64" s="213">
        <v>0.106</v>
      </c>
      <c r="S64" s="213">
        <f t="shared" si="38"/>
        <v>0.30783761953341571</v>
      </c>
      <c r="T64" s="206">
        <v>511</v>
      </c>
      <c r="U64" s="207">
        <f t="shared" si="39"/>
        <v>0</v>
      </c>
      <c r="V64" s="207">
        <f t="shared" si="40"/>
        <v>0</v>
      </c>
      <c r="W64" s="207">
        <f t="shared" si="41"/>
        <v>0</v>
      </c>
      <c r="X64" s="207">
        <f t="shared" si="42"/>
        <v>0.30783761953341571</v>
      </c>
      <c r="Y64" s="207">
        <f t="shared" si="43"/>
        <v>2.4263124381043406E-2</v>
      </c>
      <c r="Z64" s="207">
        <f t="shared" si="44"/>
        <v>0</v>
      </c>
      <c r="AA64" s="208">
        <f t="shared" si="45"/>
        <v>0</v>
      </c>
      <c r="AB64" s="207">
        <f t="shared" si="46"/>
        <v>7.881793140753432E-2</v>
      </c>
      <c r="AC64" s="207">
        <f t="shared" si="8"/>
        <v>160.97184986595175</v>
      </c>
      <c r="AD64" s="207">
        <f t="shared" si="47"/>
        <v>4.6585294573389755E-3</v>
      </c>
      <c r="AE64" s="206">
        <v>114</v>
      </c>
      <c r="AF64" s="264">
        <f t="shared" si="48"/>
        <v>2.575107296137339E-2</v>
      </c>
    </row>
    <row r="65" spans="1:69" ht="36" customHeight="1" x14ac:dyDescent="0.15">
      <c r="B65" s="355"/>
      <c r="C65" s="355"/>
      <c r="D65" s="294" t="s">
        <v>508</v>
      </c>
      <c r="E65" s="294" t="s">
        <v>516</v>
      </c>
      <c r="F65" s="294">
        <v>114</v>
      </c>
      <c r="G65" s="294" t="s">
        <v>524</v>
      </c>
      <c r="H65" s="294" t="s">
        <v>523</v>
      </c>
      <c r="I65" s="135" t="s">
        <v>544</v>
      </c>
      <c r="J65" s="135" t="s">
        <v>556</v>
      </c>
      <c r="K65" s="135" t="s">
        <v>570</v>
      </c>
      <c r="L65" s="135" t="s">
        <v>616</v>
      </c>
      <c r="O65" s="213">
        <v>8.2000000000000003E-2</v>
      </c>
      <c r="P65" s="213">
        <f t="shared" si="37"/>
        <v>0.27436472076416824</v>
      </c>
      <c r="Q65" s="206">
        <v>931</v>
      </c>
      <c r="R65" s="213">
        <v>8.3000000000000004E-2</v>
      </c>
      <c r="S65" s="213">
        <f t="shared" si="38"/>
        <v>0.27588222124667622</v>
      </c>
      <c r="T65" s="206">
        <v>1827</v>
      </c>
      <c r="U65" s="207">
        <f t="shared" si="39"/>
        <v>1.0000000000000009E-3</v>
      </c>
      <c r="V65" s="207">
        <f t="shared" si="40"/>
        <v>1.2195121951219523E-2</v>
      </c>
      <c r="W65" s="207">
        <f t="shared" si="41"/>
        <v>3.6447834736724645E-3</v>
      </c>
      <c r="X65" s="207">
        <f t="shared" si="42"/>
        <v>0.2753710822622793</v>
      </c>
      <c r="Y65" s="207">
        <f t="shared" si="43"/>
        <v>1.1068604178524425E-2</v>
      </c>
      <c r="Z65" s="207">
        <f t="shared" si="44"/>
        <v>9.034562839822434E-2</v>
      </c>
      <c r="AA65" s="208">
        <f t="shared" si="45"/>
        <v>3.6314633758367672E-3</v>
      </c>
      <c r="AB65" s="207">
        <f t="shared" si="46"/>
        <v>4.0267406373199199E-2</v>
      </c>
      <c r="AC65" s="207">
        <f t="shared" si="8"/>
        <v>616.72660639850699</v>
      </c>
      <c r="AD65" s="207">
        <f t="shared" si="47"/>
        <v>1.7848083782503892E-2</v>
      </c>
      <c r="AE65" s="206">
        <v>114</v>
      </c>
      <c r="AF65" s="264">
        <f t="shared" si="48"/>
        <v>2.575107296137339E-2</v>
      </c>
    </row>
    <row r="66" spans="1:69" ht="37.5" customHeight="1" x14ac:dyDescent="0.15">
      <c r="B66" s="355"/>
      <c r="C66" s="355"/>
      <c r="D66" s="294" t="s">
        <v>509</v>
      </c>
      <c r="E66" s="294" t="s">
        <v>399</v>
      </c>
      <c r="F66" s="294">
        <v>41</v>
      </c>
      <c r="G66" s="294" t="s">
        <v>526</v>
      </c>
      <c r="H66" s="294" t="s">
        <v>525</v>
      </c>
      <c r="I66" s="135" t="s">
        <v>545</v>
      </c>
      <c r="J66" s="135" t="s">
        <v>557</v>
      </c>
      <c r="K66" s="135" t="s">
        <v>580</v>
      </c>
      <c r="L66" s="135" t="s">
        <v>617</v>
      </c>
      <c r="O66" s="213">
        <v>0.23</v>
      </c>
      <c r="P66" s="213">
        <f t="shared" si="37"/>
        <v>0.42083250825001628</v>
      </c>
      <c r="Q66" s="206">
        <v>20395</v>
      </c>
      <c r="R66" s="213">
        <v>0.19</v>
      </c>
      <c r="S66" s="213">
        <f t="shared" si="38"/>
        <v>0.39230090491866065</v>
      </c>
      <c r="T66" s="206">
        <v>1753</v>
      </c>
      <c r="U66" s="207">
        <f t="shared" si="39"/>
        <v>-4.0000000000000008E-2</v>
      </c>
      <c r="V66" s="207">
        <f t="shared" si="40"/>
        <v>-0.17391304347826089</v>
      </c>
      <c r="W66" s="207">
        <f t="shared" si="41"/>
        <v>-9.5049691304351508E-2</v>
      </c>
      <c r="X66" s="207">
        <f t="shared" si="42"/>
        <v>0.41864617116971015</v>
      </c>
      <c r="Y66" s="207">
        <f t="shared" si="43"/>
        <v>9.8222124197791007E-3</v>
      </c>
      <c r="Z66" s="207">
        <f t="shared" si="44"/>
        <v>-4.0724022542468692</v>
      </c>
      <c r="AA66" s="208">
        <f t="shared" si="45"/>
        <v>-9.5546078656921163E-2</v>
      </c>
      <c r="AB66" s="207">
        <f t="shared" si="46"/>
        <v>2.4897680669639377E-2</v>
      </c>
      <c r="AC66" s="207">
        <f t="shared" si="8"/>
        <v>1613.1777191124054</v>
      </c>
      <c r="AD66" s="207">
        <f t="shared" si="47"/>
        <v>4.6685404501881148E-2</v>
      </c>
      <c r="AE66" s="206">
        <v>41</v>
      </c>
      <c r="AF66" s="264">
        <f t="shared" si="48"/>
        <v>9.2613508018974475E-3</v>
      </c>
    </row>
    <row r="67" spans="1:69" ht="32.25" customHeight="1" x14ac:dyDescent="0.15">
      <c r="B67" s="355"/>
      <c r="C67" s="355"/>
      <c r="D67" s="294" t="s">
        <v>510</v>
      </c>
      <c r="E67" s="294" t="s">
        <v>399</v>
      </c>
      <c r="F67" s="294">
        <v>199</v>
      </c>
      <c r="G67" s="294" t="s">
        <v>528</v>
      </c>
      <c r="H67" s="294" t="s">
        <v>527</v>
      </c>
      <c r="I67" s="135" t="s">
        <v>546</v>
      </c>
      <c r="J67" s="135" t="s">
        <v>558</v>
      </c>
      <c r="K67" s="135" t="s">
        <v>571</v>
      </c>
      <c r="L67" s="135" t="s">
        <v>618</v>
      </c>
      <c r="O67" s="213">
        <v>0.16200000000000001</v>
      </c>
      <c r="P67" s="213">
        <f t="shared" si="37"/>
        <v>0.36845081082825692</v>
      </c>
      <c r="Q67" s="206">
        <v>1772</v>
      </c>
      <c r="R67" s="213">
        <v>0.183</v>
      </c>
      <c r="S67" s="213">
        <f t="shared" si="38"/>
        <v>0.38666652298847903</v>
      </c>
      <c r="T67" s="206">
        <v>2182</v>
      </c>
      <c r="U67" s="207">
        <f t="shared" si="39"/>
        <v>2.0999999999999991E-2</v>
      </c>
      <c r="V67" s="207">
        <f t="shared" si="40"/>
        <v>0.12962962962962957</v>
      </c>
      <c r="W67" s="207">
        <f t="shared" si="41"/>
        <v>5.699539635370366E-2</v>
      </c>
      <c r="X67" s="207">
        <f t="shared" si="42"/>
        <v>0.3786119462191308</v>
      </c>
      <c r="Y67" s="207">
        <f t="shared" si="43"/>
        <v>1.2047070313368114E-2</v>
      </c>
      <c r="Z67" s="207">
        <f t="shared" si="44"/>
        <v>1.7431623999651762</v>
      </c>
      <c r="AA67" s="208">
        <f t="shared" si="45"/>
        <v>5.5465761737601732E-2</v>
      </c>
      <c r="AB67" s="207">
        <f t="shared" si="46"/>
        <v>3.1990743692217105E-2</v>
      </c>
      <c r="AC67" s="207">
        <f t="shared" si="8"/>
        <v>977.12770541665702</v>
      </c>
      <c r="AD67" s="207">
        <f t="shared" si="47"/>
        <v>2.8278100817355128E-2</v>
      </c>
      <c r="AE67" s="206">
        <v>199</v>
      </c>
      <c r="AF67" s="264">
        <f t="shared" si="48"/>
        <v>4.4951434379941271E-2</v>
      </c>
    </row>
    <row r="68" spans="1:69" ht="32.25" customHeight="1" x14ac:dyDescent="0.15">
      <c r="B68" s="355"/>
      <c r="C68" s="355"/>
      <c r="D68" s="294" t="s">
        <v>796</v>
      </c>
      <c r="E68" s="294" t="s">
        <v>797</v>
      </c>
      <c r="F68" s="294">
        <v>4</v>
      </c>
      <c r="G68" s="294" t="s">
        <v>530</v>
      </c>
      <c r="H68" s="294" t="s">
        <v>529</v>
      </c>
      <c r="I68" s="135" t="s">
        <v>547</v>
      </c>
      <c r="J68" s="135" t="s">
        <v>559</v>
      </c>
      <c r="K68" s="135" t="s">
        <v>572</v>
      </c>
      <c r="L68" s="135" t="s">
        <v>619</v>
      </c>
      <c r="O68" s="213">
        <v>0.77300000000000002</v>
      </c>
      <c r="P68" s="213">
        <f t="shared" si="37"/>
        <v>0.41889258766418869</v>
      </c>
      <c r="Q68" s="206">
        <v>3337</v>
      </c>
      <c r="R68" s="213">
        <v>0.79</v>
      </c>
      <c r="S68" s="213">
        <f t="shared" si="38"/>
        <v>0.40730823708832603</v>
      </c>
      <c r="T68" s="206">
        <v>3348</v>
      </c>
      <c r="U68" s="207">
        <f t="shared" si="39"/>
        <v>1.7000000000000015E-2</v>
      </c>
      <c r="V68" s="207">
        <f t="shared" si="40"/>
        <v>2.1992238033635206E-2</v>
      </c>
      <c r="W68" s="207">
        <f t="shared" si="41"/>
        <v>4.0583196028353481E-2</v>
      </c>
      <c r="X68" s="207">
        <f t="shared" si="42"/>
        <v>0.41313148418282458</v>
      </c>
      <c r="Y68" s="207">
        <f t="shared" si="43"/>
        <v>1.0106207474723112E-2</v>
      </c>
      <c r="Z68" s="207">
        <f t="shared" si="44"/>
        <v>1.6821344745315332</v>
      </c>
      <c r="AA68" s="208">
        <f t="shared" si="45"/>
        <v>4.1149127217031331E-2</v>
      </c>
      <c r="AB68" s="207">
        <f t="shared" si="46"/>
        <v>2.4466497747117601E-2</v>
      </c>
      <c r="AC68" s="207">
        <f t="shared" si="8"/>
        <v>1670.5381052878727</v>
      </c>
      <c r="AD68" s="207">
        <f t="shared" si="47"/>
        <v>4.8345415546702186E-2</v>
      </c>
      <c r="AE68" s="206">
        <v>4</v>
      </c>
      <c r="AF68" s="264">
        <f t="shared" si="48"/>
        <v>9.0354641969731192E-4</v>
      </c>
    </row>
    <row r="69" spans="1:69" ht="37.5" customHeight="1" x14ac:dyDescent="0.15">
      <c r="B69" s="355"/>
      <c r="C69" s="355"/>
      <c r="D69" s="294" t="s">
        <v>511</v>
      </c>
      <c r="E69" s="294" t="s">
        <v>289</v>
      </c>
      <c r="F69" s="294">
        <v>136</v>
      </c>
      <c r="G69" s="294" t="s">
        <v>531</v>
      </c>
      <c r="H69" s="294" t="s">
        <v>532</v>
      </c>
      <c r="I69" s="135" t="s">
        <v>548</v>
      </c>
      <c r="J69" s="135" t="s">
        <v>560</v>
      </c>
      <c r="K69" s="135" t="s">
        <v>573</v>
      </c>
      <c r="L69" s="135" t="s">
        <v>620</v>
      </c>
      <c r="O69" s="213">
        <v>0.43090000000000001</v>
      </c>
      <c r="P69" s="213">
        <f t="shared" si="37"/>
        <v>0.49520217083530638</v>
      </c>
      <c r="Q69" s="206">
        <v>7984</v>
      </c>
      <c r="R69" s="213">
        <v>0.40699999999999997</v>
      </c>
      <c r="S69" s="213">
        <f t="shared" si="38"/>
        <v>0.49127487214389459</v>
      </c>
      <c r="T69" s="206">
        <v>7998</v>
      </c>
      <c r="U69" s="207">
        <f t="shared" si="39"/>
        <v>-2.3900000000000032E-2</v>
      </c>
      <c r="V69" s="207">
        <f t="shared" si="40"/>
        <v>-5.5465305175214738E-2</v>
      </c>
      <c r="W69" s="207">
        <f t="shared" si="41"/>
        <v>-4.826311637464259E-2</v>
      </c>
      <c r="X69" s="207">
        <f t="shared" si="42"/>
        <v>0.49324070991811453</v>
      </c>
      <c r="Y69" s="207">
        <f t="shared" si="43"/>
        <v>7.8032683543876541E-3</v>
      </c>
      <c r="Z69" s="207">
        <f t="shared" si="44"/>
        <v>-3.0628191822419435</v>
      </c>
      <c r="AA69" s="208">
        <f t="shared" si="45"/>
        <v>-4.8455043388384945E-2</v>
      </c>
      <c r="AB69" s="207">
        <f t="shared" si="46"/>
        <v>1.5824938725849582E-2</v>
      </c>
      <c r="AC69" s="207">
        <f t="shared" si="8"/>
        <v>3993.1527704067112</v>
      </c>
      <c r="AD69" s="207">
        <f t="shared" si="47"/>
        <v>0.11556194343349648</v>
      </c>
      <c r="AE69" s="206">
        <v>136</v>
      </c>
      <c r="AF69" s="264">
        <f t="shared" si="48"/>
        <v>3.0720578269708608E-2</v>
      </c>
    </row>
    <row r="70" spans="1:69" ht="37.5" customHeight="1" x14ac:dyDescent="0.15">
      <c r="B70" s="355"/>
      <c r="C70" s="355"/>
      <c r="D70" s="294" t="s">
        <v>511</v>
      </c>
      <c r="E70" s="294" t="s">
        <v>289</v>
      </c>
      <c r="F70" s="294">
        <v>136</v>
      </c>
      <c r="G70" s="294" t="s">
        <v>531</v>
      </c>
      <c r="H70" s="294" t="s">
        <v>532</v>
      </c>
      <c r="I70" s="135" t="s">
        <v>549</v>
      </c>
      <c r="J70" s="135" t="s">
        <v>561</v>
      </c>
      <c r="K70" s="135" t="s">
        <v>574</v>
      </c>
      <c r="L70" s="135" t="s">
        <v>621</v>
      </c>
      <c r="O70" s="213">
        <v>0.4501</v>
      </c>
      <c r="P70" s="213">
        <f t="shared" si="37"/>
        <v>0.49750375877977043</v>
      </c>
      <c r="Q70" s="206">
        <v>7821</v>
      </c>
      <c r="R70" s="213">
        <v>0.42770000000000002</v>
      </c>
      <c r="S70" s="213">
        <f t="shared" si="38"/>
        <v>0.49474509598378036</v>
      </c>
      <c r="T70" s="206">
        <v>8101</v>
      </c>
      <c r="U70" s="207">
        <f t="shared" si="39"/>
        <v>-2.2399999999999975E-2</v>
      </c>
      <c r="V70" s="207">
        <f t="shared" si="40"/>
        <v>-4.9766718506998389E-2</v>
      </c>
      <c r="W70" s="207">
        <f t="shared" si="41"/>
        <v>-4.5024785450748249E-2</v>
      </c>
      <c r="X70" s="207">
        <f t="shared" si="42"/>
        <v>0.49610208469851352</v>
      </c>
      <c r="Y70" s="207">
        <f t="shared" si="43"/>
        <v>7.8652380621860724E-3</v>
      </c>
      <c r="Z70" s="207">
        <f t="shared" si="44"/>
        <v>-2.8479748257961943</v>
      </c>
      <c r="AA70" s="208">
        <f t="shared" si="45"/>
        <v>-4.5151997322512141E-2</v>
      </c>
      <c r="AB70" s="207">
        <f t="shared" si="46"/>
        <v>1.5856560062177574E-2</v>
      </c>
      <c r="AC70" s="207">
        <f t="shared" si="8"/>
        <v>3977.2422673863007</v>
      </c>
      <c r="AD70" s="207">
        <f t="shared" si="47"/>
        <v>0.11510149306864456</v>
      </c>
      <c r="AE70" s="206">
        <v>136</v>
      </c>
      <c r="AF70" s="264">
        <f t="shared" si="48"/>
        <v>3.0720578269708608E-2</v>
      </c>
    </row>
    <row r="71" spans="1:69" ht="32.25" customHeight="1" x14ac:dyDescent="0.15">
      <c r="B71" s="355"/>
      <c r="C71" s="355"/>
      <c r="D71" s="294" t="s">
        <v>512</v>
      </c>
      <c r="E71" s="294" t="s">
        <v>399</v>
      </c>
      <c r="F71" s="294">
        <v>695</v>
      </c>
      <c r="G71" s="294" t="s">
        <v>534</v>
      </c>
      <c r="H71" s="294" t="s">
        <v>533</v>
      </c>
      <c r="I71" s="135" t="s">
        <v>550</v>
      </c>
      <c r="J71" s="135" t="s">
        <v>562</v>
      </c>
      <c r="K71" s="135" t="s">
        <v>575</v>
      </c>
      <c r="L71" s="135" t="s">
        <v>622</v>
      </c>
      <c r="O71" s="213">
        <v>0.72899999999999998</v>
      </c>
      <c r="P71" s="213">
        <f t="shared" si="37"/>
        <v>0.44447609609516686</v>
      </c>
      <c r="Q71" s="211">
        <v>500</v>
      </c>
      <c r="R71" s="213">
        <v>0.77</v>
      </c>
      <c r="S71" s="213">
        <f t="shared" si="38"/>
        <v>0.42083250825001622</v>
      </c>
      <c r="T71" s="206">
        <v>1000</v>
      </c>
      <c r="U71" s="207">
        <f t="shared" si="39"/>
        <v>4.1000000000000036E-2</v>
      </c>
      <c r="V71" s="207">
        <f t="shared" si="40"/>
        <v>5.6241426611797034E-2</v>
      </c>
      <c r="W71" s="207">
        <f t="shared" si="41"/>
        <v>9.2243430772082552E-2</v>
      </c>
      <c r="X71" s="207">
        <f t="shared" si="42"/>
        <v>0.42885325479959097</v>
      </c>
      <c r="Y71" s="207">
        <f t="shared" si="43"/>
        <v>2.3921078571000932E-2</v>
      </c>
      <c r="Z71" s="207">
        <f t="shared" si="44"/>
        <v>1.713969538551809</v>
      </c>
      <c r="AA71" s="208">
        <f t="shared" si="45"/>
        <v>9.5603798131740664E-2</v>
      </c>
      <c r="AB71" s="207">
        <f t="shared" si="46"/>
        <v>5.4827926517238605E-2</v>
      </c>
      <c r="AC71" s="207">
        <f t="shared" ref="AC71:AC102" si="49">1/AB71^2</f>
        <v>332.65676201922668</v>
      </c>
      <c r="AD71" s="207">
        <f t="shared" si="47"/>
        <v>9.6270952116165893E-3</v>
      </c>
      <c r="AE71" s="206">
        <v>695</v>
      </c>
      <c r="AF71" s="264">
        <f t="shared" si="48"/>
        <v>0.15699119042240794</v>
      </c>
    </row>
    <row r="72" spans="1:69" ht="37.5" customHeight="1" x14ac:dyDescent="0.15">
      <c r="B72" s="355"/>
      <c r="C72" s="355"/>
      <c r="D72" s="294" t="s">
        <v>513</v>
      </c>
      <c r="E72" s="294" t="s">
        <v>518</v>
      </c>
      <c r="F72" s="294">
        <v>1227</v>
      </c>
      <c r="G72" s="294" t="s">
        <v>535</v>
      </c>
      <c r="H72" s="294" t="s">
        <v>536</v>
      </c>
      <c r="I72" s="135" t="s">
        <v>551</v>
      </c>
      <c r="J72" s="135" t="s">
        <v>563</v>
      </c>
      <c r="K72" s="135" t="s">
        <v>576</v>
      </c>
      <c r="L72" s="135" t="s">
        <v>623</v>
      </c>
      <c r="O72" s="213">
        <v>0.35099999999999998</v>
      </c>
      <c r="P72" s="213">
        <f t="shared" si="37"/>
        <v>0.47728293495577651</v>
      </c>
      <c r="Q72" s="206">
        <v>216</v>
      </c>
      <c r="R72" s="213">
        <v>0.441</v>
      </c>
      <c r="S72" s="213">
        <f t="shared" si="38"/>
        <v>0.4965067975365493</v>
      </c>
      <c r="T72" s="206">
        <v>217</v>
      </c>
      <c r="U72" s="207">
        <f t="shared" si="39"/>
        <v>9.0000000000000024E-2</v>
      </c>
      <c r="V72" s="207">
        <f t="shared" si="40"/>
        <v>0.2564102564102565</v>
      </c>
      <c r="W72" s="207">
        <f t="shared" si="41"/>
        <v>0.18856739558127955</v>
      </c>
      <c r="X72" s="207">
        <f t="shared" si="42"/>
        <v>0.48701202956123679</v>
      </c>
      <c r="Y72" s="207">
        <f t="shared" si="43"/>
        <v>4.680445767300926E-2</v>
      </c>
      <c r="Z72" s="207">
        <f t="shared" si="44"/>
        <v>1.92289376855445</v>
      </c>
      <c r="AA72" s="208">
        <f t="shared" si="45"/>
        <v>0.18480036331152563</v>
      </c>
      <c r="AB72" s="207">
        <f t="shared" si="46"/>
        <v>9.6525445473201715E-2</v>
      </c>
      <c r="AC72" s="207">
        <f t="shared" si="49"/>
        <v>107.32882398922544</v>
      </c>
      <c r="AD72" s="207">
        <f t="shared" si="47"/>
        <v>3.1060989147588471E-3</v>
      </c>
      <c r="AE72" s="206">
        <v>1227</v>
      </c>
      <c r="AF72" s="264">
        <f t="shared" si="48"/>
        <v>0.27716286424215042</v>
      </c>
    </row>
    <row r="73" spans="1:69" ht="35.25" customHeight="1" x14ac:dyDescent="0.15">
      <c r="B73" s="355"/>
      <c r="C73" s="355"/>
      <c r="D73" s="294" t="s">
        <v>513</v>
      </c>
      <c r="E73" s="294" t="s">
        <v>518</v>
      </c>
      <c r="F73" s="294">
        <v>1227</v>
      </c>
      <c r="G73" s="294" t="s">
        <v>535</v>
      </c>
      <c r="H73" s="294" t="s">
        <v>536</v>
      </c>
      <c r="I73" s="135" t="s">
        <v>552</v>
      </c>
      <c r="J73" s="135" t="s">
        <v>563</v>
      </c>
      <c r="K73" s="135" t="s">
        <v>577</v>
      </c>
      <c r="L73" s="135" t="s">
        <v>624</v>
      </c>
      <c r="O73" s="213">
        <v>0.372</v>
      </c>
      <c r="P73" s="213">
        <f t="shared" si="37"/>
        <v>0.48333839077813795</v>
      </c>
      <c r="Q73" s="206">
        <v>319</v>
      </c>
      <c r="R73" s="213">
        <v>0.44500000000000001</v>
      </c>
      <c r="S73" s="213">
        <f t="shared" si="38"/>
        <v>0.49696579359147042</v>
      </c>
      <c r="T73" s="206">
        <v>1276</v>
      </c>
      <c r="U73" s="207">
        <f t="shared" si="39"/>
        <v>7.3000000000000009E-2</v>
      </c>
      <c r="V73" s="207">
        <f t="shared" si="40"/>
        <v>0.19623655913978497</v>
      </c>
      <c r="W73" s="207">
        <f t="shared" si="41"/>
        <v>0.15103290239882575</v>
      </c>
      <c r="X73" s="207">
        <f t="shared" si="42"/>
        <v>0.49427546129503341</v>
      </c>
      <c r="Y73" s="207">
        <f t="shared" si="43"/>
        <v>3.0428483912755825E-2</v>
      </c>
      <c r="Z73" s="207">
        <f t="shared" si="44"/>
        <v>2.3990679328390043</v>
      </c>
      <c r="AA73" s="208">
        <f t="shared" si="45"/>
        <v>0.14769092483113633</v>
      </c>
      <c r="AB73" s="207">
        <f t="shared" si="46"/>
        <v>6.2707161349769724E-2</v>
      </c>
      <c r="AC73" s="207">
        <f t="shared" si="49"/>
        <v>254.31133468160226</v>
      </c>
      <c r="AD73" s="207">
        <f t="shared" si="47"/>
        <v>7.3597765381711172E-3</v>
      </c>
      <c r="AE73" s="206">
        <v>1227</v>
      </c>
      <c r="AF73" s="264">
        <f t="shared" si="48"/>
        <v>0.27716286424215042</v>
      </c>
    </row>
    <row r="74" spans="1:69" ht="37.5" customHeight="1" x14ac:dyDescent="0.15">
      <c r="B74" s="355"/>
      <c r="C74" s="355"/>
      <c r="D74" s="294" t="s">
        <v>514</v>
      </c>
      <c r="E74" s="294" t="s">
        <v>517</v>
      </c>
      <c r="F74" s="294">
        <v>89</v>
      </c>
      <c r="G74" s="140" t="s">
        <v>537</v>
      </c>
      <c r="H74" s="140" t="s">
        <v>538</v>
      </c>
      <c r="I74" s="135" t="s">
        <v>553</v>
      </c>
      <c r="J74" s="135" t="s">
        <v>564</v>
      </c>
      <c r="K74" s="135" t="s">
        <v>578</v>
      </c>
      <c r="L74" s="135" t="s">
        <v>625</v>
      </c>
      <c r="O74" s="213">
        <v>0.33600000000000002</v>
      </c>
      <c r="P74" s="213">
        <f t="shared" si="37"/>
        <v>0.47233886141201636</v>
      </c>
      <c r="Q74" s="206">
        <v>16912</v>
      </c>
      <c r="R74" s="213">
        <v>0.35360000000000003</v>
      </c>
      <c r="S74" s="213">
        <f t="shared" si="38"/>
        <v>0.47808685403386697</v>
      </c>
      <c r="T74" s="206">
        <v>50735</v>
      </c>
      <c r="U74" s="207">
        <f t="shared" si="39"/>
        <v>1.7600000000000005E-2</v>
      </c>
      <c r="V74" s="207">
        <f t="shared" si="40"/>
        <v>5.2380952380952389E-2</v>
      </c>
      <c r="W74" s="207">
        <f t="shared" si="41"/>
        <v>3.7261384649542324E-2</v>
      </c>
      <c r="X74" s="207">
        <f t="shared" si="42"/>
        <v>0.47665637537969652</v>
      </c>
      <c r="Y74" s="207">
        <f t="shared" si="43"/>
        <v>4.2068002782165211E-3</v>
      </c>
      <c r="Z74" s="207">
        <f t="shared" si="44"/>
        <v>4.1837023000914959</v>
      </c>
      <c r="AA74" s="208">
        <f t="shared" si="45"/>
        <v>3.6923874113673899E-2</v>
      </c>
      <c r="AB74" s="207">
        <f t="shared" si="46"/>
        <v>8.8803167801003655E-3</v>
      </c>
      <c r="AC74" s="207">
        <f t="shared" si="49"/>
        <v>12680.695775354941</v>
      </c>
      <c r="AD74" s="207">
        <f t="shared" si="47"/>
        <v>0.36697966047006275</v>
      </c>
      <c r="AE74" s="206">
        <v>89</v>
      </c>
      <c r="AF74" s="264">
        <f t="shared" si="48"/>
        <v>2.0103907838265191E-2</v>
      </c>
    </row>
    <row r="75" spans="1:69" ht="36.75" customHeight="1" x14ac:dyDescent="0.15">
      <c r="B75" s="355"/>
      <c r="C75" s="355"/>
      <c r="D75" s="294" t="s">
        <v>514</v>
      </c>
      <c r="E75" s="294" t="s">
        <v>517</v>
      </c>
      <c r="F75" s="294">
        <v>89</v>
      </c>
      <c r="G75" s="140" t="s">
        <v>537</v>
      </c>
      <c r="H75" s="140" t="s">
        <v>538</v>
      </c>
      <c r="I75" s="135" t="s">
        <v>554</v>
      </c>
      <c r="J75" s="135" t="s">
        <v>565</v>
      </c>
      <c r="K75" s="135" t="s">
        <v>579</v>
      </c>
      <c r="L75" s="135" t="s">
        <v>626</v>
      </c>
      <c r="O75" s="213">
        <v>0.33600000000000002</v>
      </c>
      <c r="P75" s="213">
        <f t="shared" si="37"/>
        <v>0.47233886141201636</v>
      </c>
      <c r="Q75" s="206">
        <v>8538</v>
      </c>
      <c r="R75" s="213">
        <f>0.336+(0.014+0.022+0.03+0.05+0.047+0.042+0.022+0.006+0.017+0.034+0.036)/11</f>
        <v>0.36509090909090913</v>
      </c>
      <c r="S75" s="213">
        <f t="shared" si="38"/>
        <v>0.48145564405257796</v>
      </c>
      <c r="T75" s="206">
        <f>8538*11</f>
        <v>93918</v>
      </c>
      <c r="U75" s="207">
        <f t="shared" si="39"/>
        <v>2.9090909090909112E-2</v>
      </c>
      <c r="V75" s="207">
        <f t="shared" si="40"/>
        <v>8.6580086580086632E-2</v>
      </c>
      <c r="W75" s="207">
        <f t="shared" si="41"/>
        <v>6.1589065536433618E-2</v>
      </c>
      <c r="X75" s="207">
        <f t="shared" si="42"/>
        <v>0.48070258977674996</v>
      </c>
      <c r="Y75" s="207">
        <f t="shared" si="43"/>
        <v>5.3477860203678135E-3</v>
      </c>
      <c r="Z75" s="207">
        <f t="shared" si="44"/>
        <v>5.4398042442446641</v>
      </c>
      <c r="AA75" s="208">
        <f t="shared" si="45"/>
        <v>6.0517479434466205E-2</v>
      </c>
      <c r="AB75" s="207">
        <f t="shared" si="46"/>
        <v>1.1305166108561302E-2</v>
      </c>
      <c r="AC75" s="207">
        <f t="shared" si="49"/>
        <v>7824.3109965925514</v>
      </c>
      <c r="AD75" s="207">
        <f t="shared" si="47"/>
        <v>0.22643576060883311</v>
      </c>
      <c r="AE75" s="206">
        <v>89</v>
      </c>
      <c r="AF75" s="264">
        <f t="shared" si="48"/>
        <v>2.0103907838265191E-2</v>
      </c>
    </row>
    <row r="76" spans="1:69" ht="50.25" customHeight="1" x14ac:dyDescent="0.15">
      <c r="B76" s="355"/>
      <c r="C76" s="355"/>
      <c r="D76" s="294" t="s">
        <v>515</v>
      </c>
      <c r="E76" s="294" t="s">
        <v>519</v>
      </c>
      <c r="F76" s="294">
        <v>128</v>
      </c>
      <c r="G76" s="294" t="s">
        <v>539</v>
      </c>
      <c r="H76" s="294" t="s">
        <v>540</v>
      </c>
      <c r="I76" s="135" t="s">
        <v>555</v>
      </c>
      <c r="J76" s="135" t="s">
        <v>566</v>
      </c>
      <c r="K76" s="135" t="s">
        <v>581</v>
      </c>
      <c r="L76" s="135" t="s">
        <v>627</v>
      </c>
      <c r="O76" s="213">
        <v>0.34</v>
      </c>
      <c r="P76" s="213">
        <f t="shared" si="37"/>
        <v>0.47370877129308042</v>
      </c>
      <c r="Q76" s="206">
        <v>38</v>
      </c>
      <c r="R76" s="213">
        <v>0.54</v>
      </c>
      <c r="S76" s="213">
        <f t="shared" si="38"/>
        <v>0.4983974317750845</v>
      </c>
      <c r="T76" s="206">
        <v>120</v>
      </c>
      <c r="U76" s="207">
        <f t="shared" si="39"/>
        <v>0.2</v>
      </c>
      <c r="V76" s="207">
        <f t="shared" si="40"/>
        <v>0.58823529411764708</v>
      </c>
      <c r="W76" s="207">
        <f t="shared" si="41"/>
        <v>0.4222003309207491</v>
      </c>
      <c r="X76" s="207">
        <f t="shared" si="42"/>
        <v>0.49265372454462603</v>
      </c>
      <c r="Y76" s="207">
        <f t="shared" si="43"/>
        <v>8.9304328886648798E-2</v>
      </c>
      <c r="Z76" s="207">
        <f t="shared" si="44"/>
        <v>2.2395330942339178</v>
      </c>
      <c r="AA76" s="208">
        <f t="shared" si="45"/>
        <v>0.40596465638185469</v>
      </c>
      <c r="AB76" s="207">
        <f t="shared" si="46"/>
        <v>0.18895920160871341</v>
      </c>
      <c r="AC76" s="207">
        <f t="shared" si="49"/>
        <v>28.00682704406433</v>
      </c>
      <c r="AD76" s="207">
        <f t="shared" si="47"/>
        <v>8.1051829186295685E-4</v>
      </c>
      <c r="AE76" s="206">
        <v>128</v>
      </c>
      <c r="AF76" s="264">
        <f t="shared" si="48"/>
        <v>2.8913485430313982E-2</v>
      </c>
      <c r="AH76" s="265" t="s">
        <v>1008</v>
      </c>
      <c r="AI76" s="214">
        <f>SUMPRODUCT(AD62:AD76,AA62:AA76)</f>
        <v>1.7902497476813946E-2</v>
      </c>
      <c r="AJ76" s="265" t="s">
        <v>1009</v>
      </c>
      <c r="AK76" s="299">
        <f>SQRT(SUMPRODUCT(AD62:AD76,AD62:AD76,AB62:AB76,AB62:AB76))</f>
        <v>5.3795934426607061E-3</v>
      </c>
      <c r="AM76" s="290" t="s">
        <v>998</v>
      </c>
      <c r="AN76" s="214">
        <f>SUMPRODUCT(AF62:AF76,AA62:AA76)</f>
        <v>0.1195174849660966</v>
      </c>
      <c r="AO76" s="265" t="s">
        <v>999</v>
      </c>
      <c r="AP76" s="266">
        <f>SQRT(SUMPRODUCT(AF62:AF76,AF62:AF76,AB62:AB76,AB62:AB76))</f>
        <v>3.3762984901026999E-2</v>
      </c>
      <c r="AR76" s="265" t="s">
        <v>1000</v>
      </c>
      <c r="AS76" s="266">
        <f>AA77</f>
        <v>0.44717907071415869</v>
      </c>
      <c r="AT76" s="265" t="s">
        <v>1001</v>
      </c>
      <c r="AU76" s="266">
        <f>AB77</f>
        <v>6.2776854331239279E-2</v>
      </c>
      <c r="AV76" s="266"/>
      <c r="AW76" s="265" t="s">
        <v>1002</v>
      </c>
      <c r="AX76" s="266">
        <f>AA78</f>
        <v>0.48683715343804435</v>
      </c>
      <c r="AY76" s="265" t="s">
        <v>1003</v>
      </c>
      <c r="AZ76" s="266">
        <f>AB78</f>
        <v>6.3053522381611188E-2</v>
      </c>
      <c r="BA76" s="266"/>
      <c r="BB76" s="290" t="s">
        <v>1010</v>
      </c>
      <c r="BC76" s="245">
        <f>O77+AI76*X77</f>
        <v>1534.0912134719742</v>
      </c>
      <c r="BD76" s="265" t="s">
        <v>1011</v>
      </c>
      <c r="BE76" s="299">
        <f>X77*AK76</f>
        <v>3.9338313685850079</v>
      </c>
      <c r="BG76" s="265" t="s">
        <v>1012</v>
      </c>
      <c r="BH76" s="243">
        <f>O77+AN76*X77</f>
        <v>1608.397242275892</v>
      </c>
      <c r="BI76" s="265" t="s">
        <v>1013</v>
      </c>
      <c r="BJ76" s="266">
        <f>X77*AP76</f>
        <v>24.689205702323719</v>
      </c>
      <c r="BL76" s="290" t="s">
        <v>1014</v>
      </c>
      <c r="BM76" s="304">
        <v>209.48</v>
      </c>
      <c r="BN76" s="290" t="s">
        <v>1015</v>
      </c>
      <c r="BO76" s="309">
        <v>208</v>
      </c>
      <c r="BP76" s="305" t="s">
        <v>1016</v>
      </c>
      <c r="BQ76" s="266">
        <f>BM76/SQRT(BO76)</f>
        <v>14.524824638157625</v>
      </c>
    </row>
    <row r="77" spans="1:69" s="280" customFormat="1" ht="50.25" hidden="1" customHeight="1" x14ac:dyDescent="0.15">
      <c r="A77" s="271"/>
      <c r="B77" s="292"/>
      <c r="C77" s="292"/>
      <c r="D77" s="273" t="s">
        <v>1004</v>
      </c>
      <c r="E77" s="273"/>
      <c r="F77" s="273"/>
      <c r="G77" s="273"/>
      <c r="H77" s="273"/>
      <c r="I77" s="274"/>
      <c r="J77" s="274"/>
      <c r="K77" s="274"/>
      <c r="L77" s="274"/>
      <c r="M77" s="271"/>
      <c r="N77" s="271"/>
      <c r="O77" s="275">
        <v>1521</v>
      </c>
      <c r="P77" s="275">
        <f>31.22*SQRT(Q77)</f>
        <v>725.48724041157323</v>
      </c>
      <c r="Q77" s="276">
        <v>540</v>
      </c>
      <c r="R77" s="275">
        <v>1848</v>
      </c>
      <c r="S77" s="275">
        <f>32.14*SQRT(T77)</f>
        <v>737.12093281903208</v>
      </c>
      <c r="T77" s="276">
        <v>526</v>
      </c>
      <c r="U77" s="277">
        <f>R77-O77</f>
        <v>327</v>
      </c>
      <c r="V77" s="277">
        <f>U77/R77</f>
        <v>0.17694805194805194</v>
      </c>
      <c r="W77" s="277">
        <f>U77/S77</f>
        <v>0.44361784537772803</v>
      </c>
      <c r="X77" s="277">
        <f>SQRT(((T77-1)*S77^2 + (Q77-1)*P77^2)/(T77+Q77-2))</f>
        <v>731.25068102532384</v>
      </c>
      <c r="Y77" s="277">
        <f>SQRT(S77^2/T77 + P77^2/Q77)</f>
        <v>44.807008380386208</v>
      </c>
      <c r="Z77" s="277">
        <f>U77/Y77</f>
        <v>7.2979654705789461</v>
      </c>
      <c r="AA77" s="278">
        <f>U77/X77</f>
        <v>0.44717907071415869</v>
      </c>
      <c r="AB77" s="277">
        <f>SQRT(((T77+Q77)/(T77*Q77)) + ((AA77^2)/(T77+Q77-2)))</f>
        <v>6.2776854331239279E-2</v>
      </c>
      <c r="AC77" s="207"/>
      <c r="AD77" s="207"/>
      <c r="AE77" s="276"/>
      <c r="AF77" s="279"/>
      <c r="AG77" s="279"/>
      <c r="AH77" s="291"/>
      <c r="AI77" s="306"/>
      <c r="AJ77" s="281"/>
      <c r="AK77" s="307"/>
      <c r="AL77" s="282"/>
      <c r="AM77" s="291"/>
      <c r="AN77" s="306"/>
      <c r="AO77" s="281"/>
      <c r="AP77" s="282"/>
      <c r="AR77" s="281"/>
      <c r="AS77" s="283"/>
      <c r="AT77" s="281"/>
      <c r="AU77" s="283"/>
      <c r="AV77" s="283"/>
      <c r="AW77" s="281"/>
      <c r="AX77" s="283"/>
      <c r="AY77" s="281"/>
      <c r="AZ77" s="283"/>
      <c r="BA77" s="283"/>
      <c r="BB77" s="281"/>
      <c r="BD77" s="281"/>
      <c r="BE77" s="307"/>
      <c r="BH77" s="283"/>
      <c r="BJ77" s="282"/>
      <c r="BK77" s="308"/>
      <c r="BM77" s="283"/>
      <c r="BO77" s="283"/>
      <c r="BQ77" s="282"/>
    </row>
    <row r="78" spans="1:69" s="280" customFormat="1" ht="50.25" hidden="1" customHeight="1" x14ac:dyDescent="0.15">
      <c r="A78" s="271"/>
      <c r="B78" s="292"/>
      <c r="C78" s="292"/>
      <c r="D78" s="273" t="s">
        <v>1005</v>
      </c>
      <c r="E78" s="273"/>
      <c r="F78" s="273"/>
      <c r="G78" s="273"/>
      <c r="H78" s="273"/>
      <c r="I78" s="274"/>
      <c r="J78" s="274"/>
      <c r="K78" s="274"/>
      <c r="L78" s="274"/>
      <c r="M78" s="271"/>
      <c r="N78" s="271"/>
      <c r="O78" s="275">
        <v>1521</v>
      </c>
      <c r="P78" s="275">
        <f>31.22*SQRT(Q78)</f>
        <v>725.48724041157323</v>
      </c>
      <c r="Q78" s="276">
        <v>540</v>
      </c>
      <c r="R78" s="275">
        <v>1877</v>
      </c>
      <c r="S78" s="275">
        <f>32.14*SQRT(T78)</f>
        <v>737.12093281903208</v>
      </c>
      <c r="T78" s="276">
        <v>526</v>
      </c>
      <c r="U78" s="277">
        <f>R78-O78</f>
        <v>356</v>
      </c>
      <c r="V78" s="277">
        <f>U78/R78</f>
        <v>0.18966435801811402</v>
      </c>
      <c r="W78" s="277">
        <f>U78/S78</f>
        <v>0.48296010077819929</v>
      </c>
      <c r="X78" s="277">
        <f>SQRT(((T78-1)*S78^2 + (Q78-1)*P78^2)/(T78+Q78-2))</f>
        <v>731.25068102532384</v>
      </c>
      <c r="Y78" s="277">
        <f>SQRT(S78^2/T78 + P78^2/Q78)</f>
        <v>44.807008380386208</v>
      </c>
      <c r="Z78" s="277">
        <f>U78/Y78</f>
        <v>7.945185649926926</v>
      </c>
      <c r="AA78" s="278">
        <f>U78/X78</f>
        <v>0.48683715343804435</v>
      </c>
      <c r="AB78" s="277">
        <f>SQRT(((T78+Q78)/(T78*Q78)) + ((AA78^2)/(T78+Q78-2)))</f>
        <v>6.3053522381611188E-2</v>
      </c>
      <c r="AC78" s="207"/>
      <c r="AD78" s="207"/>
      <c r="AE78" s="276"/>
      <c r="AF78" s="279"/>
      <c r="AG78" s="279"/>
      <c r="AH78" s="291"/>
      <c r="AI78" s="306"/>
      <c r="AJ78" s="281"/>
      <c r="AK78" s="307"/>
      <c r="AL78" s="282"/>
      <c r="AM78" s="291"/>
      <c r="AN78" s="306"/>
      <c r="AO78" s="281"/>
      <c r="AP78" s="282"/>
      <c r="AR78" s="281"/>
      <c r="AS78" s="283"/>
      <c r="AT78" s="281"/>
      <c r="AU78" s="283"/>
      <c r="AV78" s="283"/>
      <c r="AW78" s="281"/>
      <c r="AX78" s="283"/>
      <c r="AY78" s="281"/>
      <c r="AZ78" s="283"/>
      <c r="BA78" s="283"/>
      <c r="BB78" s="281"/>
      <c r="BD78" s="281"/>
      <c r="BE78" s="307"/>
      <c r="BH78" s="283"/>
      <c r="BJ78" s="282"/>
      <c r="BK78" s="308"/>
      <c r="BM78" s="283"/>
      <c r="BO78" s="283"/>
      <c r="BQ78" s="282"/>
    </row>
    <row r="79" spans="1:69" ht="32.25" customHeight="1" x14ac:dyDescent="0.15">
      <c r="B79" s="163"/>
      <c r="C79" s="163"/>
      <c r="D79" s="294"/>
      <c r="E79" s="294"/>
      <c r="F79" s="294"/>
      <c r="G79" s="294"/>
      <c r="H79" s="294"/>
      <c r="I79" s="135"/>
      <c r="J79" s="135"/>
      <c r="K79" s="135"/>
      <c r="L79" s="135"/>
      <c r="AC79" s="207"/>
      <c r="AD79" s="207"/>
    </row>
    <row r="80" spans="1:69" ht="16" x14ac:dyDescent="0.15">
      <c r="B80" s="314" t="s">
        <v>671</v>
      </c>
      <c r="C80" s="314"/>
      <c r="D80" s="352"/>
      <c r="E80" s="352"/>
      <c r="F80" s="352"/>
      <c r="G80" s="352"/>
      <c r="H80" s="352"/>
      <c r="I80" s="352"/>
      <c r="J80" s="352"/>
      <c r="K80" s="352"/>
      <c r="L80" s="352"/>
      <c r="AC80" s="207"/>
      <c r="AD80" s="207"/>
    </row>
    <row r="81" spans="1:69" s="244" customFormat="1" ht="57" customHeight="1" x14ac:dyDescent="0.15">
      <c r="A81" s="4"/>
      <c r="B81" s="296" t="s">
        <v>83</v>
      </c>
      <c r="C81" s="296" t="s">
        <v>198</v>
      </c>
      <c r="D81" s="296" t="s">
        <v>218</v>
      </c>
      <c r="E81" s="296" t="s">
        <v>287</v>
      </c>
      <c r="F81" s="296" t="s">
        <v>131</v>
      </c>
      <c r="G81" s="296" t="s">
        <v>220</v>
      </c>
      <c r="H81" s="296" t="s">
        <v>222</v>
      </c>
      <c r="I81" s="296" t="s">
        <v>210</v>
      </c>
      <c r="J81" s="296" t="s">
        <v>128</v>
      </c>
      <c r="K81" s="296" t="s">
        <v>228</v>
      </c>
      <c r="L81" s="296" t="s">
        <v>229</v>
      </c>
      <c r="M81" s="4"/>
      <c r="N81" s="4"/>
      <c r="O81" s="210"/>
      <c r="P81" s="210"/>
      <c r="Q81" s="210"/>
      <c r="R81" s="210"/>
      <c r="S81" s="210"/>
      <c r="T81" s="209"/>
      <c r="U81" s="215"/>
      <c r="V81" s="215"/>
      <c r="W81" s="215"/>
      <c r="X81" s="215"/>
      <c r="Y81" s="215"/>
      <c r="Z81" s="215"/>
      <c r="AA81" s="215"/>
      <c r="AB81" s="215"/>
      <c r="AC81" s="207"/>
      <c r="AD81" s="207"/>
      <c r="AE81" s="209"/>
      <c r="AF81" s="289"/>
      <c r="AG81" s="289"/>
      <c r="AH81" s="268"/>
      <c r="AI81" s="215"/>
      <c r="AJ81" s="268"/>
      <c r="AK81" s="301"/>
      <c r="AL81" s="269"/>
      <c r="AM81" s="268"/>
      <c r="AN81" s="215"/>
      <c r="AO81" s="268"/>
      <c r="AP81" s="269"/>
      <c r="AS81" s="270"/>
      <c r="AU81" s="270"/>
      <c r="AV81" s="270"/>
      <c r="AX81" s="270"/>
      <c r="AZ81" s="270"/>
      <c r="BA81" s="270"/>
      <c r="BB81" s="268"/>
      <c r="BD81" s="268"/>
      <c r="BE81" s="301"/>
      <c r="BH81" s="270"/>
      <c r="BJ81" s="269"/>
      <c r="BK81" s="302"/>
      <c r="BM81" s="270"/>
      <c r="BO81" s="270"/>
      <c r="BQ81" s="269"/>
    </row>
    <row r="82" spans="1:69" x14ac:dyDescent="0.15">
      <c r="B82" s="298" t="s">
        <v>57</v>
      </c>
      <c r="C82" s="298" t="s">
        <v>58</v>
      </c>
      <c r="D82" s="298" t="s">
        <v>59</v>
      </c>
      <c r="E82" s="298" t="s">
        <v>60</v>
      </c>
      <c r="F82" s="298" t="s">
        <v>91</v>
      </c>
      <c r="G82" s="298" t="s">
        <v>95</v>
      </c>
      <c r="H82" s="298" t="s">
        <v>171</v>
      </c>
      <c r="I82" s="298" t="s">
        <v>172</v>
      </c>
      <c r="J82" s="298" t="s">
        <v>661</v>
      </c>
      <c r="K82" s="298" t="s">
        <v>664</v>
      </c>
      <c r="L82" s="298" t="s">
        <v>665</v>
      </c>
      <c r="AC82" s="207"/>
      <c r="AD82" s="207"/>
    </row>
    <row r="83" spans="1:69" ht="39" customHeight="1" x14ac:dyDescent="0.15">
      <c r="B83" s="353" t="s">
        <v>295</v>
      </c>
      <c r="C83" s="353" t="s">
        <v>204</v>
      </c>
      <c r="D83" s="294" t="s">
        <v>368</v>
      </c>
      <c r="E83" s="294" t="s">
        <v>376</v>
      </c>
      <c r="F83" s="294">
        <v>24</v>
      </c>
      <c r="G83" s="294" t="s">
        <v>378</v>
      </c>
      <c r="H83" s="294" t="s">
        <v>242</v>
      </c>
      <c r="I83" s="135" t="s">
        <v>372</v>
      </c>
      <c r="J83" s="135" t="s">
        <v>385</v>
      </c>
      <c r="K83" s="135" t="s">
        <v>478</v>
      </c>
      <c r="L83" s="135" t="s">
        <v>633</v>
      </c>
      <c r="O83" s="213">
        <f>223/Q83</f>
        <v>0.5575</v>
      </c>
      <c r="P83" s="213">
        <f t="shared" ref="P83:P86" si="50">SQRT(O83*(1-O83))</f>
        <v>0.4966827458247367</v>
      </c>
      <c r="Q83" s="206">
        <v>400</v>
      </c>
      <c r="R83" s="213">
        <f>183/T83</f>
        <v>0.51117318435754189</v>
      </c>
      <c r="S83" s="213">
        <f t="shared" ref="S83:S86" si="51">SQRT(R83*(1-R83))</f>
        <v>0.49987514436238212</v>
      </c>
      <c r="T83" s="206">
        <v>358</v>
      </c>
      <c r="U83" s="207">
        <f t="shared" ref="U83:U90" si="52">R83-O83</f>
        <v>-4.6326815642458108E-2</v>
      </c>
      <c r="V83" s="207">
        <f t="shared" ref="V83:V90" si="53">U83/O83</f>
        <v>-8.309742716135983E-2</v>
      </c>
      <c r="W83" s="207">
        <f t="shared" ref="W83:W90" si="54">U83/P83</f>
        <v>-9.3272448120848034E-2</v>
      </c>
      <c r="X83" s="207">
        <f t="shared" ref="X83:X90" si="55">SQRT(((Q83-1)*P83^2 + (T83-1)*S83^2)/(Q83+T83-2))</f>
        <v>0.49819281656504105</v>
      </c>
      <c r="Y83" s="207">
        <f t="shared" ref="Y83:Y90" si="56">SQRT(P83^2/Q83 + S83^2/T83)</f>
        <v>3.6258925551187683E-2</v>
      </c>
      <c r="Z83" s="207">
        <f t="shared" ref="Z83:Z90" si="57">U83/Y83</f>
        <v>-1.2776665314325797</v>
      </c>
      <c r="AA83" s="208">
        <f t="shared" ref="AA83:AA90" si="58">U83/X83</f>
        <v>-9.2989730285302011E-2</v>
      </c>
      <c r="AB83" s="207">
        <f t="shared" ref="AB83:AB90" si="59">SQRT(((Q83+T83)/(Q83*T83)) + ((AA83^2)/(Q83+T83-2)))</f>
        <v>7.2833605149268968E-2</v>
      </c>
      <c r="AC83" s="207">
        <f t="shared" si="49"/>
        <v>188.51086456749908</v>
      </c>
      <c r="AD83" s="207">
        <f>AC83/SUM($AC$83:$AC$86)</f>
        <v>0.33964673387576161</v>
      </c>
      <c r="AE83" s="206">
        <v>24</v>
      </c>
      <c r="AF83" s="264">
        <f>AE83/SUM($AE$83:$AE$86)</f>
        <v>0.29629629629629628</v>
      </c>
    </row>
    <row r="84" spans="1:69" ht="46.5" customHeight="1" x14ac:dyDescent="0.15">
      <c r="B84" s="318"/>
      <c r="C84" s="318"/>
      <c r="D84" s="294" t="s">
        <v>369</v>
      </c>
      <c r="E84" s="294" t="s">
        <v>669</v>
      </c>
      <c r="F84" s="294">
        <v>2</v>
      </c>
      <c r="G84" s="294" t="s">
        <v>380</v>
      </c>
      <c r="H84" s="294" t="s">
        <v>382</v>
      </c>
      <c r="I84" s="135" t="s">
        <v>373</v>
      </c>
      <c r="J84" s="135" t="s">
        <v>387</v>
      </c>
      <c r="K84" s="135" t="s">
        <v>479</v>
      </c>
      <c r="L84" s="135" t="s">
        <v>634</v>
      </c>
      <c r="O84" s="213">
        <f>26/Q84</f>
        <v>8.4415584415584416E-2</v>
      </c>
      <c r="P84" s="213">
        <f t="shared" si="50"/>
        <v>0.27801006011178764</v>
      </c>
      <c r="Q84" s="206">
        <v>308</v>
      </c>
      <c r="R84" s="213">
        <f>10/T84</f>
        <v>3.3112582781456956E-2</v>
      </c>
      <c r="S84" s="213">
        <f t="shared" si="51"/>
        <v>0.17893054418683838</v>
      </c>
      <c r="T84" s="206">
        <v>302</v>
      </c>
      <c r="U84" s="207">
        <f t="shared" si="52"/>
        <v>-5.130300163412746E-2</v>
      </c>
      <c r="V84" s="207">
        <f t="shared" si="53"/>
        <v>-0.60774325012735608</v>
      </c>
      <c r="W84" s="207">
        <f t="shared" si="54"/>
        <v>-0.18453649344019624</v>
      </c>
      <c r="X84" s="207">
        <f t="shared" si="55"/>
        <v>0.2342568149187513</v>
      </c>
      <c r="Y84" s="207">
        <f t="shared" si="56"/>
        <v>1.8893224873995258E-2</v>
      </c>
      <c r="Z84" s="207">
        <f t="shared" si="57"/>
        <v>-2.7154179329512562</v>
      </c>
      <c r="AA84" s="208">
        <f t="shared" si="58"/>
        <v>-0.21900324074636288</v>
      </c>
      <c r="AB84" s="207">
        <f t="shared" si="59"/>
        <v>8.1467153400723719E-2</v>
      </c>
      <c r="AC84" s="207">
        <f t="shared" si="49"/>
        <v>150.67282006357073</v>
      </c>
      <c r="AD84" s="207">
        <f t="shared" ref="AD84:AD86" si="60">AC84/SUM($AC$83:$AC$86)</f>
        <v>0.27147258242040462</v>
      </c>
      <c r="AE84" s="206">
        <v>2</v>
      </c>
      <c r="AF84" s="264">
        <f t="shared" ref="AF84:AF86" si="61">AE84/SUM($AE$83:$AE$86)</f>
        <v>2.4691358024691357E-2</v>
      </c>
    </row>
    <row r="85" spans="1:69" ht="41.25" customHeight="1" x14ac:dyDescent="0.15">
      <c r="B85" s="318"/>
      <c r="C85" s="318"/>
      <c r="D85" s="294" t="s">
        <v>370</v>
      </c>
      <c r="E85" s="294" t="s">
        <v>670</v>
      </c>
      <c r="F85" s="294">
        <v>53</v>
      </c>
      <c r="G85" s="294" t="s">
        <v>379</v>
      </c>
      <c r="H85" s="294" t="s">
        <v>383</v>
      </c>
      <c r="I85" s="135" t="s">
        <v>374</v>
      </c>
      <c r="J85" s="135" t="s">
        <v>388</v>
      </c>
      <c r="K85" s="135" t="s">
        <v>480</v>
      </c>
      <c r="L85" s="135" t="s">
        <v>635</v>
      </c>
      <c r="O85" s="213">
        <f>24/Q85</f>
        <v>0.21238938053097345</v>
      </c>
      <c r="P85" s="213">
        <f t="shared" si="50"/>
        <v>0.40899893834659617</v>
      </c>
      <c r="Q85" s="206">
        <v>113</v>
      </c>
      <c r="R85" s="213">
        <f>24/T85</f>
        <v>0.30769230769230771</v>
      </c>
      <c r="S85" s="213">
        <f t="shared" si="51"/>
        <v>0.46153846153846156</v>
      </c>
      <c r="T85" s="206">
        <v>78</v>
      </c>
      <c r="U85" s="207">
        <f t="shared" si="52"/>
        <v>9.5302927161334261E-2</v>
      </c>
      <c r="V85" s="207">
        <f t="shared" si="53"/>
        <v>0.44871794871794884</v>
      </c>
      <c r="W85" s="207">
        <f t="shared" si="54"/>
        <v>0.23301509668118531</v>
      </c>
      <c r="X85" s="207">
        <f t="shared" si="55"/>
        <v>0.43117743066796177</v>
      </c>
      <c r="Y85" s="207">
        <f t="shared" si="56"/>
        <v>6.4894930159930128E-2</v>
      </c>
      <c r="Z85" s="207">
        <f t="shared" si="57"/>
        <v>1.4685727671863615</v>
      </c>
      <c r="AA85" s="208">
        <f t="shared" si="58"/>
        <v>0.22102948898251704</v>
      </c>
      <c r="AB85" s="207">
        <f t="shared" si="59"/>
        <v>0.14808294061203672</v>
      </c>
      <c r="AC85" s="207">
        <f t="shared" si="49"/>
        <v>45.602635244314712</v>
      </c>
      <c r="AD85" s="207">
        <f t="shared" si="60"/>
        <v>8.2163890937507214E-2</v>
      </c>
      <c r="AE85" s="206">
        <v>53</v>
      </c>
      <c r="AF85" s="264">
        <f t="shared" si="61"/>
        <v>0.65432098765432101</v>
      </c>
    </row>
    <row r="86" spans="1:69" ht="36.75" customHeight="1" x14ac:dyDescent="0.15">
      <c r="B86" s="318"/>
      <c r="C86" s="318"/>
      <c r="D86" s="294" t="s">
        <v>371</v>
      </c>
      <c r="E86" s="294" t="s">
        <v>377</v>
      </c>
      <c r="F86" s="294">
        <v>2</v>
      </c>
      <c r="G86" s="294" t="s">
        <v>381</v>
      </c>
      <c r="H86" s="294" t="s">
        <v>384</v>
      </c>
      <c r="I86" s="135" t="s">
        <v>375</v>
      </c>
      <c r="J86" s="135" t="s">
        <v>386</v>
      </c>
      <c r="K86" s="135" t="s">
        <v>481</v>
      </c>
      <c r="L86" s="135" t="s">
        <v>636</v>
      </c>
      <c r="O86" s="213">
        <v>0.73199999999999998</v>
      </c>
      <c r="P86" s="213">
        <f t="shared" si="50"/>
        <v>0.44291759956000848</v>
      </c>
      <c r="Q86" s="206">
        <v>549</v>
      </c>
      <c r="R86" s="213">
        <f>1.06*0.694/(1-0.694+1.06*0.694)</f>
        <v>0.70623247955147639</v>
      </c>
      <c r="S86" s="213">
        <f t="shared" si="51"/>
        <v>0.45548673348194224</v>
      </c>
      <c r="T86" s="206">
        <v>247</v>
      </c>
      <c r="U86" s="207">
        <f t="shared" si="52"/>
        <v>-2.5767520448523595E-2</v>
      </c>
      <c r="V86" s="207">
        <f t="shared" si="53"/>
        <v>-3.5201530667381964E-2</v>
      </c>
      <c r="W86" s="207">
        <f t="shared" si="54"/>
        <v>-5.8176781582219547E-2</v>
      </c>
      <c r="X86" s="207">
        <f t="shared" si="55"/>
        <v>0.44684961664464518</v>
      </c>
      <c r="Y86" s="207">
        <f t="shared" si="56"/>
        <v>3.4601812320101955E-2</v>
      </c>
      <c r="Z86" s="207">
        <f t="shared" si="57"/>
        <v>-0.74468701841822116</v>
      </c>
      <c r="AA86" s="208">
        <f t="shared" si="58"/>
        <v>-5.7664859694878244E-2</v>
      </c>
      <c r="AB86" s="207">
        <f t="shared" si="59"/>
        <v>7.6643751052767703E-2</v>
      </c>
      <c r="AC86" s="207">
        <f t="shared" si="49"/>
        <v>170.2340756290042</v>
      </c>
      <c r="AD86" s="207">
        <f t="shared" si="60"/>
        <v>0.30671679276632657</v>
      </c>
      <c r="AE86" s="206">
        <v>2</v>
      </c>
      <c r="AF86" s="264">
        <f t="shared" si="61"/>
        <v>2.4691358024691357E-2</v>
      </c>
      <c r="AH86" s="265" t="s">
        <v>1008</v>
      </c>
      <c r="AI86" s="214">
        <f>SUMPRODUCT(AD83:AD86,AA83:AA86)</f>
        <v>-9.0563171493444311E-2</v>
      </c>
      <c r="AJ86" s="265" t="s">
        <v>1009</v>
      </c>
      <c r="AK86" s="299">
        <f>SQRT(SUMPRODUCT(AD83:AD86,AD83:AD86,AB83:AB86,AB83:AB86))</f>
        <v>4.2446856072498276E-2</v>
      </c>
      <c r="AM86" s="290" t="s">
        <v>998</v>
      </c>
      <c r="AN86" s="214">
        <f>SUMPRODUCT(AF83:AF86,AA83:AA86)</f>
        <v>0.11024040973263795</v>
      </c>
      <c r="AO86" s="265" t="s">
        <v>999</v>
      </c>
      <c r="AP86" s="266">
        <f>SQRT(SUMPRODUCT(AF83:AF86,AF83:AF86,AB83:AB86,AB83:AB86))</f>
        <v>9.93063036584379E-2</v>
      </c>
      <c r="AR86" s="265" t="s">
        <v>1000</v>
      </c>
      <c r="AS86" s="266">
        <f>AA87</f>
        <v>-0.20166627413497967</v>
      </c>
      <c r="AT86" s="265" t="s">
        <v>1001</v>
      </c>
      <c r="AU86" s="266">
        <f>AB87</f>
        <v>6.0253817433049424E-2</v>
      </c>
      <c r="AV86" s="266"/>
      <c r="AW86" s="265" t="s">
        <v>1002</v>
      </c>
      <c r="AX86" s="266">
        <f>AA88</f>
        <v>-9.400984207796044E-2</v>
      </c>
      <c r="AY86" s="265" t="s">
        <v>1003</v>
      </c>
      <c r="AZ86" s="266">
        <f>AB88</f>
        <v>6.0015592623876998E-2</v>
      </c>
      <c r="BA86" s="266"/>
      <c r="BB86" s="290" t="s">
        <v>1010</v>
      </c>
      <c r="BC86" s="245">
        <f>O87+AI86*X87</f>
        <v>1969.2730979173732</v>
      </c>
      <c r="BD86" s="265" t="s">
        <v>1011</v>
      </c>
      <c r="BE86" s="299">
        <f>X87*AK86</f>
        <v>27.993931468499582</v>
      </c>
      <c r="BG86" s="265" t="s">
        <v>1012</v>
      </c>
      <c r="BH86" s="243">
        <f>O87+AN86*X87</f>
        <v>2101.7041472716814</v>
      </c>
      <c r="BI86" s="265" t="s">
        <v>1013</v>
      </c>
      <c r="BJ86" s="266">
        <f>X87*AP86</f>
        <v>65.493045097525879</v>
      </c>
      <c r="BL86" s="290" t="s">
        <v>1014</v>
      </c>
      <c r="BM86" s="304">
        <v>253.43</v>
      </c>
      <c r="BN86" s="290" t="s">
        <v>1015</v>
      </c>
      <c r="BO86" s="309">
        <v>208</v>
      </c>
      <c r="BP86" s="305" t="s">
        <v>1016</v>
      </c>
      <c r="BQ86" s="266">
        <f>BM86/SQRT(BO86)</f>
        <v>17.572208841169978</v>
      </c>
    </row>
    <row r="87" spans="1:69" s="280" customFormat="1" ht="36.75" hidden="1" customHeight="1" x14ac:dyDescent="0.15">
      <c r="A87" s="271"/>
      <c r="B87" s="272"/>
      <c r="C87" s="272"/>
      <c r="D87" s="273" t="s">
        <v>1004</v>
      </c>
      <c r="E87" s="273"/>
      <c r="F87" s="273"/>
      <c r="G87" s="273"/>
      <c r="H87" s="273"/>
      <c r="I87" s="274"/>
      <c r="J87" s="274"/>
      <c r="K87" s="274"/>
      <c r="L87" s="274"/>
      <c r="M87" s="271"/>
      <c r="N87" s="271"/>
      <c r="O87" s="275">
        <v>2029</v>
      </c>
      <c r="P87" s="275">
        <f>27.47*SQRT(Q87)</f>
        <v>648.89698889731324</v>
      </c>
      <c r="Q87" s="276">
        <v>558</v>
      </c>
      <c r="R87" s="275">
        <v>1896</v>
      </c>
      <c r="S87" s="275">
        <f>28.44*SQRT(T87)</f>
        <v>670.00197611648889</v>
      </c>
      <c r="T87" s="276">
        <v>555</v>
      </c>
      <c r="U87" s="277">
        <f>R87-O87</f>
        <v>-133</v>
      </c>
      <c r="V87" s="277">
        <f>U87/R87</f>
        <v>-7.0147679324894519E-2</v>
      </c>
      <c r="W87" s="277">
        <f>U87/S87</f>
        <v>-0.19850687720490567</v>
      </c>
      <c r="X87" s="277">
        <f>SQRT(((T87-1)*S87^2 + (Q87-1)*P87^2)/(T87+Q87-2))</f>
        <v>659.5054159178851</v>
      </c>
      <c r="Y87" s="277">
        <f>SQRT(S87^2/T87 + P87^2/Q87)</f>
        <v>39.540289579111587</v>
      </c>
      <c r="Z87" s="277">
        <f>U87/Y87</f>
        <v>-3.363657712569244</v>
      </c>
      <c r="AA87" s="278">
        <f>U87/X87</f>
        <v>-0.20166627413497967</v>
      </c>
      <c r="AB87" s="277">
        <f>SQRT(((T87+Q87)/(T87*Q87)) + ((AA87^2)/(T87+Q87-2)))</f>
        <v>6.0253817433049424E-2</v>
      </c>
      <c r="AC87" s="207"/>
      <c r="AD87" s="207"/>
      <c r="AE87" s="276"/>
      <c r="AF87" s="279"/>
      <c r="AG87" s="279"/>
      <c r="AH87" s="291"/>
      <c r="AI87" s="306"/>
      <c r="AJ87" s="281"/>
      <c r="AK87" s="307"/>
      <c r="AL87" s="282"/>
      <c r="AM87" s="291"/>
      <c r="AN87" s="306"/>
      <c r="AO87" s="281"/>
      <c r="AP87" s="282"/>
      <c r="AR87" s="281"/>
      <c r="AS87" s="283"/>
      <c r="AT87" s="281"/>
      <c r="AU87" s="283"/>
      <c r="AV87" s="283"/>
      <c r="AW87" s="281"/>
      <c r="AX87" s="283"/>
      <c r="AY87" s="281"/>
      <c r="AZ87" s="283"/>
      <c r="BA87" s="283"/>
      <c r="BB87" s="281"/>
      <c r="BD87" s="281"/>
      <c r="BE87" s="307"/>
      <c r="BH87" s="283"/>
      <c r="BJ87" s="282"/>
      <c r="BK87" s="308"/>
      <c r="BM87" s="283"/>
      <c r="BO87" s="283"/>
      <c r="BQ87" s="282"/>
    </row>
    <row r="88" spans="1:69" s="280" customFormat="1" ht="36.75" hidden="1" customHeight="1" x14ac:dyDescent="0.15">
      <c r="A88" s="271"/>
      <c r="B88" s="272"/>
      <c r="C88" s="272"/>
      <c r="D88" s="273" t="s">
        <v>1005</v>
      </c>
      <c r="E88" s="273"/>
      <c r="F88" s="273"/>
      <c r="G88" s="273"/>
      <c r="H88" s="273"/>
      <c r="I88" s="274"/>
      <c r="J88" s="274"/>
      <c r="K88" s="274"/>
      <c r="L88" s="274"/>
      <c r="M88" s="271"/>
      <c r="N88" s="271"/>
      <c r="O88" s="275">
        <v>2029</v>
      </c>
      <c r="P88" s="275">
        <f>27.47*SQRT(Q88)</f>
        <v>648.89698889731324</v>
      </c>
      <c r="Q88" s="276">
        <v>558</v>
      </c>
      <c r="R88" s="275">
        <v>1967</v>
      </c>
      <c r="S88" s="275">
        <f>28.44*SQRT(T88)</f>
        <v>670.00197611648889</v>
      </c>
      <c r="T88" s="276">
        <v>555</v>
      </c>
      <c r="U88" s="277">
        <f>R88-O88</f>
        <v>-62</v>
      </c>
      <c r="V88" s="277">
        <f>U88/R88</f>
        <v>-3.1520081342145401E-2</v>
      </c>
      <c r="W88" s="277">
        <f>U88/S88</f>
        <v>-9.2537040501534967E-2</v>
      </c>
      <c r="X88" s="277">
        <f>SQRT(((T88-1)*S88^2 + (Q88-1)*P88^2)/(T88+Q88-2))</f>
        <v>659.5054159178851</v>
      </c>
      <c r="Y88" s="277">
        <f>SQRT(S88^2/T88 + P88^2/Q88)</f>
        <v>39.540289579111587</v>
      </c>
      <c r="Z88" s="277">
        <f>U88/Y88</f>
        <v>-1.5680208885661138</v>
      </c>
      <c r="AA88" s="278">
        <f>U88/X88</f>
        <v>-9.400984207796044E-2</v>
      </c>
      <c r="AB88" s="277">
        <f>SQRT(((T88+Q88)/(T88*Q88)) + ((AA88^2)/(T88+Q88-2)))</f>
        <v>6.0015592623876998E-2</v>
      </c>
      <c r="AC88" s="207"/>
      <c r="AD88" s="207"/>
      <c r="AE88" s="276"/>
      <c r="AF88" s="279"/>
      <c r="AG88" s="279"/>
      <c r="AH88" s="291"/>
      <c r="AI88" s="306"/>
      <c r="AJ88" s="281"/>
      <c r="AK88" s="307"/>
      <c r="AL88" s="282"/>
      <c r="AM88" s="291"/>
      <c r="AN88" s="306"/>
      <c r="AO88" s="281"/>
      <c r="AP88" s="282"/>
      <c r="AR88" s="281"/>
      <c r="AS88" s="283"/>
      <c r="AT88" s="281"/>
      <c r="AU88" s="283"/>
      <c r="AV88" s="283"/>
      <c r="AW88" s="281"/>
      <c r="AX88" s="283"/>
      <c r="AY88" s="281"/>
      <c r="AZ88" s="283"/>
      <c r="BA88" s="283"/>
      <c r="BB88" s="281"/>
      <c r="BD88" s="281"/>
      <c r="BE88" s="307"/>
      <c r="BH88" s="283"/>
      <c r="BJ88" s="282"/>
      <c r="BK88" s="308"/>
      <c r="BM88" s="283"/>
      <c r="BO88" s="283"/>
      <c r="BQ88" s="282"/>
    </row>
    <row r="89" spans="1:69" ht="32.25" customHeight="1" x14ac:dyDescent="0.15">
      <c r="B89" s="353" t="s">
        <v>15</v>
      </c>
      <c r="C89" s="353" t="s">
        <v>205</v>
      </c>
      <c r="D89" s="294" t="s">
        <v>316</v>
      </c>
      <c r="E89" s="294" t="s">
        <v>321</v>
      </c>
      <c r="F89" s="294">
        <v>167</v>
      </c>
      <c r="G89" s="294" t="s">
        <v>322</v>
      </c>
      <c r="H89" s="294" t="s">
        <v>327</v>
      </c>
      <c r="I89" s="135" t="s">
        <v>332</v>
      </c>
      <c r="J89" s="135" t="s">
        <v>337</v>
      </c>
      <c r="K89" s="135" t="s">
        <v>466</v>
      </c>
      <c r="L89" s="135" t="s">
        <v>628</v>
      </c>
      <c r="O89" s="213">
        <v>0.22600000000000001</v>
      </c>
      <c r="P89" s="213">
        <v>5.8999999999999997E-2</v>
      </c>
      <c r="Q89" s="206">
        <v>83</v>
      </c>
      <c r="R89" s="213">
        <v>0.253</v>
      </c>
      <c r="S89" s="213">
        <v>0.09</v>
      </c>
      <c r="T89" s="206">
        <v>67</v>
      </c>
      <c r="U89" s="207">
        <f t="shared" si="52"/>
        <v>2.6999999999999996E-2</v>
      </c>
      <c r="V89" s="207">
        <f t="shared" si="53"/>
        <v>0.11946902654867254</v>
      </c>
      <c r="W89" s="207">
        <f t="shared" si="54"/>
        <v>0.45762711864406774</v>
      </c>
      <c r="X89" s="207">
        <f t="shared" si="55"/>
        <v>7.4436713551340544E-2</v>
      </c>
      <c r="Y89" s="207">
        <f t="shared" si="56"/>
        <v>1.2760692826966891E-2</v>
      </c>
      <c r="Z89" s="207">
        <f t="shared" si="57"/>
        <v>2.1158725757383245</v>
      </c>
      <c r="AA89" s="208">
        <f t="shared" si="58"/>
        <v>0.36272423528448144</v>
      </c>
      <c r="AB89" s="207">
        <f t="shared" si="59"/>
        <v>0.16692077390964008</v>
      </c>
      <c r="AC89" s="207">
        <f t="shared" si="49"/>
        <v>35.890476211725954</v>
      </c>
      <c r="AD89" s="207">
        <f>AC89/SUM($AC$89:$AC$93)</f>
        <v>9.6539922361149944E-2</v>
      </c>
      <c r="AE89" s="206">
        <v>167</v>
      </c>
      <c r="AF89" s="264">
        <f>AE89/SUM($AE$89:$AE$93)</f>
        <v>0.43832020997375326</v>
      </c>
    </row>
    <row r="90" spans="1:69" ht="32.25" customHeight="1" x14ac:dyDescent="0.15">
      <c r="B90" s="318"/>
      <c r="C90" s="318"/>
      <c r="D90" s="294" t="s">
        <v>317</v>
      </c>
      <c r="E90" s="294" t="s">
        <v>293</v>
      </c>
      <c r="F90" s="294">
        <v>59</v>
      </c>
      <c r="G90" s="294" t="s">
        <v>323</v>
      </c>
      <c r="H90" s="294" t="s">
        <v>328</v>
      </c>
      <c r="I90" s="135" t="s">
        <v>333</v>
      </c>
      <c r="J90" s="135" t="s">
        <v>339</v>
      </c>
      <c r="K90" s="135" t="s">
        <v>467</v>
      </c>
      <c r="L90" s="135" t="s">
        <v>629</v>
      </c>
      <c r="O90" s="213">
        <v>8.7780000000000005</v>
      </c>
      <c r="P90" s="213">
        <v>0.94940000000000002</v>
      </c>
      <c r="Q90" s="206" t="s">
        <v>829</v>
      </c>
      <c r="R90" s="213">
        <v>8.577</v>
      </c>
      <c r="S90" s="213">
        <v>1.0209999999999999</v>
      </c>
      <c r="T90" s="206" t="s">
        <v>829</v>
      </c>
      <c r="U90" s="207">
        <f t="shared" si="52"/>
        <v>-0.20100000000000051</v>
      </c>
      <c r="V90" s="207">
        <f t="shared" si="53"/>
        <v>-2.2898154477101904E-2</v>
      </c>
      <c r="W90" s="207">
        <f t="shared" si="54"/>
        <v>-0.21171266062776545</v>
      </c>
      <c r="X90" s="207">
        <f t="shared" si="55"/>
        <v>0.9858502320332434</v>
      </c>
      <c r="Y90" s="207">
        <f t="shared" si="56"/>
        <v>6.6541667628274154E-2</v>
      </c>
      <c r="Z90" s="207">
        <f t="shared" si="57"/>
        <v>-3.0206637008687443</v>
      </c>
      <c r="AA90" s="208">
        <f t="shared" si="58"/>
        <v>-0.20388492437178093</v>
      </c>
      <c r="AB90" s="207">
        <f t="shared" si="59"/>
        <v>6.7847342789533568E-2</v>
      </c>
      <c r="AC90" s="207">
        <f t="shared" si="49"/>
        <v>217.237258404328</v>
      </c>
      <c r="AD90" s="207">
        <f t="shared" ref="AD90:AD93" si="62">AC90/SUM($AC$89:$AC$93)</f>
        <v>0.58433518509434001</v>
      </c>
      <c r="AE90" s="206">
        <v>59</v>
      </c>
      <c r="AF90" s="264">
        <f t="shared" ref="AF90:AF93" si="63">AE90/SUM($AE$89:$AE$93)</f>
        <v>0.15485564304461943</v>
      </c>
    </row>
    <row r="91" spans="1:69" ht="32.25" customHeight="1" x14ac:dyDescent="0.15">
      <c r="B91" s="318"/>
      <c r="C91" s="318"/>
      <c r="D91" s="294" t="s">
        <v>318</v>
      </c>
      <c r="E91" s="294" t="s">
        <v>290</v>
      </c>
      <c r="F91" s="294">
        <v>39</v>
      </c>
      <c r="G91" s="294" t="s">
        <v>324</v>
      </c>
      <c r="H91" s="294" t="s">
        <v>329</v>
      </c>
      <c r="I91" s="135" t="s">
        <v>334</v>
      </c>
      <c r="J91" s="135" t="s">
        <v>338</v>
      </c>
      <c r="K91" s="135" t="s">
        <v>468</v>
      </c>
      <c r="L91" s="135" t="s">
        <v>630</v>
      </c>
      <c r="O91" s="213">
        <v>0</v>
      </c>
      <c r="P91" s="213">
        <v>1</v>
      </c>
      <c r="Q91" s="206">
        <v>61</v>
      </c>
      <c r="R91" s="213">
        <v>-0.18835222700000001</v>
      </c>
      <c r="S91" s="213">
        <v>1.697818909</v>
      </c>
      <c r="T91" s="206">
        <v>247</v>
      </c>
      <c r="U91" s="207">
        <v>-0.188</v>
      </c>
      <c r="V91" s="207"/>
      <c r="W91" s="207">
        <v>-0.188</v>
      </c>
      <c r="X91" s="207">
        <v>1.585</v>
      </c>
      <c r="Y91" s="207">
        <v>0.16800000000000001</v>
      </c>
      <c r="Z91" s="207">
        <v>-1.124338761</v>
      </c>
      <c r="AA91" s="208">
        <v>-0.11899999999999999</v>
      </c>
      <c r="AB91" s="207">
        <v>0.14299999999999999</v>
      </c>
      <c r="AC91" s="207">
        <f t="shared" si="49"/>
        <v>48.902146804244715</v>
      </c>
      <c r="AD91" s="207">
        <f t="shared" si="62"/>
        <v>0.13153933728616612</v>
      </c>
      <c r="AE91" s="206">
        <v>39</v>
      </c>
      <c r="AF91" s="264">
        <f t="shared" si="63"/>
        <v>0.10236220472440945</v>
      </c>
    </row>
    <row r="92" spans="1:69" ht="32.25" customHeight="1" x14ac:dyDescent="0.15">
      <c r="B92" s="318"/>
      <c r="C92" s="318"/>
      <c r="D92" s="294" t="s">
        <v>319</v>
      </c>
      <c r="E92" s="294" t="s">
        <v>291</v>
      </c>
      <c r="F92" s="294">
        <v>110</v>
      </c>
      <c r="G92" s="294" t="s">
        <v>325</v>
      </c>
      <c r="H92" s="294" t="s">
        <v>330</v>
      </c>
      <c r="I92" s="135" t="s">
        <v>335</v>
      </c>
      <c r="J92" s="135" t="s">
        <v>339</v>
      </c>
      <c r="K92" s="135" t="s">
        <v>469</v>
      </c>
      <c r="L92" s="135" t="s">
        <v>631</v>
      </c>
      <c r="O92" s="213">
        <v>4.9630419999999997</v>
      </c>
      <c r="P92" s="213">
        <v>0.1179125</v>
      </c>
      <c r="Q92" s="206">
        <v>57</v>
      </c>
      <c r="R92" s="213">
        <v>5.0086899999999996</v>
      </c>
      <c r="S92" s="213">
        <v>0.1179051</v>
      </c>
      <c r="T92" s="206">
        <v>59</v>
      </c>
      <c r="U92" s="207">
        <f t="shared" ref="U92:U102" si="64">R92-O92</f>
        <v>4.5647999999999911E-2</v>
      </c>
      <c r="V92" s="207">
        <f t="shared" ref="V92:V102" si="65">U92/O92</f>
        <v>9.1975848683126023E-3</v>
      </c>
      <c r="W92" s="207">
        <f t="shared" ref="W92:W102" si="66">U92/P92</f>
        <v>0.38713452772182688</v>
      </c>
      <c r="X92" s="207">
        <f t="shared" ref="X92:X102" si="67">SQRT(((Q92-1)*P92^2 + (T92-1)*S92^2)/(Q92+T92-2))</f>
        <v>0.1179087351457548</v>
      </c>
      <c r="Y92" s="207">
        <f t="shared" ref="Y92:Y102" si="68">SQRT(P92^2/Q92 + S92^2/T92)</f>
        <v>2.1898381401762191E-2</v>
      </c>
      <c r="Z92" s="207">
        <f t="shared" ref="Z92:Z102" si="69">U92/Y92</f>
        <v>2.0845376268917555</v>
      </c>
      <c r="AA92" s="208">
        <f t="shared" ref="AA92:AA102" si="70">U92/X92</f>
        <v>0.38714688902032063</v>
      </c>
      <c r="AB92" s="207">
        <f t="shared" ref="AB92:AB102" si="71">SQRT(((Q92+T92)/(Q92*T92)) + ((AA92^2)/(Q92+T92-2)))</f>
        <v>0.18922941853156694</v>
      </c>
      <c r="AC92" s="207">
        <f t="shared" si="49"/>
        <v>27.926897451284788</v>
      </c>
      <c r="AD92" s="207">
        <f t="shared" si="62"/>
        <v>7.5119106690871559E-2</v>
      </c>
      <c r="AE92" s="206">
        <v>110</v>
      </c>
      <c r="AF92" s="264">
        <f t="shared" si="63"/>
        <v>0.28871391076115488</v>
      </c>
    </row>
    <row r="93" spans="1:69" ht="32.25" customHeight="1" x14ac:dyDescent="0.15">
      <c r="B93" s="318"/>
      <c r="C93" s="318"/>
      <c r="D93" s="294" t="s">
        <v>320</v>
      </c>
      <c r="E93" s="294" t="s">
        <v>293</v>
      </c>
      <c r="F93" s="294">
        <v>6</v>
      </c>
      <c r="G93" s="294" t="s">
        <v>326</v>
      </c>
      <c r="H93" s="140" t="s">
        <v>331</v>
      </c>
      <c r="I93" s="135" t="s">
        <v>336</v>
      </c>
      <c r="J93" s="135" t="s">
        <v>338</v>
      </c>
      <c r="K93" s="135" t="s">
        <v>470</v>
      </c>
      <c r="L93" s="135" t="s">
        <v>632</v>
      </c>
      <c r="O93" s="213">
        <v>67.431370000000001</v>
      </c>
      <c r="P93" s="213">
        <v>19.10943</v>
      </c>
      <c r="Q93" s="206">
        <v>51</v>
      </c>
      <c r="R93" s="213">
        <v>74.129409999999993</v>
      </c>
      <c r="S93" s="213">
        <v>19.59479</v>
      </c>
      <c r="T93" s="206">
        <f>102+68+85</f>
        <v>255</v>
      </c>
      <c r="U93" s="207">
        <f t="shared" si="64"/>
        <v>6.6980399999999918</v>
      </c>
      <c r="V93" s="207">
        <f t="shared" si="65"/>
        <v>9.93312163166786E-2</v>
      </c>
      <c r="W93" s="207">
        <f t="shared" si="66"/>
        <v>0.35050966983316573</v>
      </c>
      <c r="X93" s="207">
        <f t="shared" si="67"/>
        <v>19.515790478553107</v>
      </c>
      <c r="Y93" s="207">
        <f t="shared" si="68"/>
        <v>2.9437919855170658</v>
      </c>
      <c r="Z93" s="207">
        <f t="shared" si="69"/>
        <v>2.2753102233286726</v>
      </c>
      <c r="AA93" s="208">
        <f t="shared" si="70"/>
        <v>0.34321130918887494</v>
      </c>
      <c r="AB93" s="207">
        <f t="shared" si="71"/>
        <v>0.15465087143927364</v>
      </c>
      <c r="AC93" s="207">
        <f t="shared" si="49"/>
        <v>41.811452694440362</v>
      </c>
      <c r="AD93" s="207">
        <f t="shared" si="62"/>
        <v>0.11246644856747233</v>
      </c>
      <c r="AE93" s="206">
        <v>6</v>
      </c>
      <c r="AF93" s="264">
        <f t="shared" si="63"/>
        <v>1.5748031496062992E-2</v>
      </c>
      <c r="AH93" s="265" t="s">
        <v>1008</v>
      </c>
      <c r="AI93" s="214">
        <f>SUMPRODUCT(AD89:AD93,AA89:AA93)</f>
        <v>-3.2091061130890657E-2</v>
      </c>
      <c r="AJ93" s="265" t="s">
        <v>1009</v>
      </c>
      <c r="AK93" s="299">
        <f>SQRT(SUMPRODUCT(AD89:AD93,AD89:AD93,AB89:AB93,AB89:AB93))</f>
        <v>5.1863743676722855E-2</v>
      </c>
      <c r="AM93" s="290" t="s">
        <v>998</v>
      </c>
      <c r="AN93" s="214">
        <f>SUMPRODUCT(AF89:AF93,AA89:AA93)</f>
        <v>0.23241512441454551</v>
      </c>
      <c r="AO93" s="265" t="s">
        <v>999</v>
      </c>
      <c r="AP93" s="266">
        <f>SQRT(SUMPRODUCT(AF89:AF93,AF89:AF93,AB89:AB93,AB89:AB93))</f>
        <v>9.3104495765462633E-2</v>
      </c>
      <c r="AR93" s="265" t="s">
        <v>1000</v>
      </c>
      <c r="AS93" s="266">
        <f>AA94</f>
        <v>0.3335061500623614</v>
      </c>
      <c r="AT93" s="265" t="s">
        <v>1001</v>
      </c>
      <c r="AU93" s="266">
        <f>AB94</f>
        <v>6.1614645747821384E-2</v>
      </c>
      <c r="AV93" s="266"/>
      <c r="AW93" s="265" t="s">
        <v>1002</v>
      </c>
      <c r="AX93" s="266">
        <f>AA95</f>
        <v>0.45718134737715371</v>
      </c>
      <c r="AY93" s="265" t="s">
        <v>1003</v>
      </c>
      <c r="AZ93" s="266">
        <f>AB95</f>
        <v>6.2344411578356518E-2</v>
      </c>
      <c r="BA93" s="266"/>
      <c r="BB93" s="290" t="s">
        <v>1010</v>
      </c>
      <c r="BC93" s="245">
        <f>O94+AI93*X94</f>
        <v>1497.9064088624045</v>
      </c>
      <c r="BD93" s="265" t="s">
        <v>1011</v>
      </c>
      <c r="BE93" s="299">
        <f>X94*AK93</f>
        <v>37.322545566509042</v>
      </c>
      <c r="BG93" s="265" t="s">
        <v>1012</v>
      </c>
      <c r="BH93" s="243">
        <f>O94+AN93*X94</f>
        <v>1688.2521776556769</v>
      </c>
      <c r="BI93" s="265" t="s">
        <v>1013</v>
      </c>
      <c r="BJ93" s="266">
        <f>X94*AP93</f>
        <v>67.000500529099057</v>
      </c>
      <c r="BL93" s="290" t="s">
        <v>1014</v>
      </c>
      <c r="BM93" s="304">
        <v>234.28</v>
      </c>
      <c r="BN93" s="290" t="s">
        <v>1015</v>
      </c>
      <c r="BO93" s="309">
        <v>208</v>
      </c>
      <c r="BP93" s="305" t="s">
        <v>1016</v>
      </c>
      <c r="BQ93" s="266">
        <f>BM93/SQRT(BO93)</f>
        <v>16.244395246455834</v>
      </c>
    </row>
    <row r="94" spans="1:69" s="280" customFormat="1" ht="32.25" hidden="1" customHeight="1" x14ac:dyDescent="0.15">
      <c r="A94" s="271"/>
      <c r="B94" s="272"/>
      <c r="C94" s="272"/>
      <c r="D94" s="273" t="s">
        <v>1004</v>
      </c>
      <c r="E94" s="273"/>
      <c r="F94" s="273"/>
      <c r="G94" s="273"/>
      <c r="H94" s="293"/>
      <c r="I94" s="274"/>
      <c r="J94" s="274"/>
      <c r="K94" s="274"/>
      <c r="L94" s="274"/>
      <c r="M94" s="271"/>
      <c r="N94" s="271"/>
      <c r="O94" s="275">
        <v>1521</v>
      </c>
      <c r="P94" s="275">
        <f>31.22*SQRT(Q94)</f>
        <v>725.48724041157323</v>
      </c>
      <c r="Q94" s="276">
        <v>540</v>
      </c>
      <c r="R94" s="275">
        <v>1761</v>
      </c>
      <c r="S94" s="275">
        <f>30.63*SQRT(T94)</f>
        <v>713.75129891300378</v>
      </c>
      <c r="T94" s="276">
        <v>543</v>
      </c>
      <c r="U94" s="277">
        <f>R94-O94</f>
        <v>240</v>
      </c>
      <c r="V94" s="277">
        <f>U94/R94</f>
        <v>0.1362862010221465</v>
      </c>
      <c r="W94" s="277">
        <f>U94/S94</f>
        <v>0.33625157721674792</v>
      </c>
      <c r="X94" s="277">
        <f>SQRT(((T94-1)*S94^2 + (Q94-1)*P94^2)/(T94+Q94-2))</f>
        <v>719.62690929424559</v>
      </c>
      <c r="Y94" s="277">
        <f>SQRT(S94^2/T94 + P94^2/Q94)</f>
        <v>43.736544216478741</v>
      </c>
      <c r="Z94" s="277">
        <f>U94/Y94</f>
        <v>5.487401995276401</v>
      </c>
      <c r="AA94" s="278">
        <f>U94/X94</f>
        <v>0.3335061500623614</v>
      </c>
      <c r="AB94" s="277">
        <f>SQRT(((T94+Q94)/(T94*Q94)) + ((AA94^2)/(T94+Q94-2)))</f>
        <v>6.1614645747821384E-2</v>
      </c>
      <c r="AC94" s="207"/>
      <c r="AD94" s="207"/>
      <c r="AE94" s="276"/>
      <c r="AF94" s="279"/>
      <c r="AG94" s="279"/>
      <c r="AH94" s="291"/>
      <c r="AI94" s="306"/>
      <c r="AJ94" s="281"/>
      <c r="AK94" s="307"/>
      <c r="AL94" s="282"/>
      <c r="AM94" s="291"/>
      <c r="AN94" s="306"/>
      <c r="AO94" s="281"/>
      <c r="AP94" s="282"/>
      <c r="AR94" s="281"/>
      <c r="AS94" s="283"/>
      <c r="AT94" s="281"/>
      <c r="AU94" s="283"/>
      <c r="AV94" s="283"/>
      <c r="AW94" s="281"/>
      <c r="AX94" s="283"/>
      <c r="AY94" s="281"/>
      <c r="AZ94" s="283"/>
      <c r="BA94" s="283"/>
      <c r="BB94" s="281"/>
      <c r="BD94" s="281"/>
      <c r="BE94" s="307"/>
      <c r="BH94" s="283"/>
      <c r="BJ94" s="282"/>
      <c r="BK94" s="308"/>
      <c r="BM94" s="283"/>
      <c r="BO94" s="283"/>
      <c r="BQ94" s="282"/>
    </row>
    <row r="95" spans="1:69" s="280" customFormat="1" ht="32.25" hidden="1" customHeight="1" x14ac:dyDescent="0.15">
      <c r="A95" s="271"/>
      <c r="B95" s="272"/>
      <c r="C95" s="272"/>
      <c r="D95" s="273" t="s">
        <v>1005</v>
      </c>
      <c r="E95" s="273"/>
      <c r="F95" s="273"/>
      <c r="G95" s="273"/>
      <c r="H95" s="293"/>
      <c r="I95" s="274"/>
      <c r="J95" s="274"/>
      <c r="K95" s="274"/>
      <c r="L95" s="274"/>
      <c r="M95" s="271"/>
      <c r="N95" s="271"/>
      <c r="O95" s="275">
        <v>1521</v>
      </c>
      <c r="P95" s="275">
        <f>31.22*SQRT(Q95)</f>
        <v>725.48724041157323</v>
      </c>
      <c r="Q95" s="276">
        <v>540</v>
      </c>
      <c r="R95" s="275">
        <v>1850</v>
      </c>
      <c r="S95" s="275">
        <f>30.63*SQRT(T95)</f>
        <v>713.75129891300378</v>
      </c>
      <c r="T95" s="276">
        <v>543</v>
      </c>
      <c r="U95" s="277">
        <f>R95-O95</f>
        <v>329</v>
      </c>
      <c r="V95" s="277">
        <f>U95/R95</f>
        <v>0.17783783783783783</v>
      </c>
      <c r="W95" s="277">
        <f>U95/S95</f>
        <v>0.46094487043462523</v>
      </c>
      <c r="X95" s="277">
        <f>SQRT(((T95-1)*S95^2 + (Q95-1)*P95^2)/(T95+Q95-2))</f>
        <v>719.62690929424559</v>
      </c>
      <c r="Y95" s="277">
        <f>SQRT(S95^2/T95 + P95^2/Q95)</f>
        <v>43.736544216478741</v>
      </c>
      <c r="Z95" s="277">
        <f>U95/Y95</f>
        <v>7.5223135685247335</v>
      </c>
      <c r="AA95" s="278">
        <f>U95/X95</f>
        <v>0.45718134737715371</v>
      </c>
      <c r="AB95" s="277">
        <f>SQRT(((T95+Q95)/(T95*Q95)) + ((AA95^2)/(T95+Q95-2)))</f>
        <v>6.2344411578356518E-2</v>
      </c>
      <c r="AC95" s="207"/>
      <c r="AD95" s="207"/>
      <c r="AE95" s="276"/>
      <c r="AF95" s="279"/>
      <c r="AG95" s="279"/>
      <c r="AH95" s="291"/>
      <c r="AI95" s="306"/>
      <c r="AJ95" s="281"/>
      <c r="AK95" s="307"/>
      <c r="AL95" s="282"/>
      <c r="AM95" s="291"/>
      <c r="AN95" s="306"/>
      <c r="AO95" s="281"/>
      <c r="AP95" s="282"/>
      <c r="AR95" s="281"/>
      <c r="AS95" s="283"/>
      <c r="AT95" s="281"/>
      <c r="AU95" s="283"/>
      <c r="AV95" s="283"/>
      <c r="AW95" s="281"/>
      <c r="AX95" s="283"/>
      <c r="AY95" s="281"/>
      <c r="AZ95" s="283"/>
      <c r="BA95" s="283"/>
      <c r="BB95" s="281"/>
      <c r="BD95" s="281"/>
      <c r="BE95" s="307"/>
      <c r="BH95" s="283"/>
      <c r="BJ95" s="282"/>
      <c r="BK95" s="308"/>
      <c r="BM95" s="283"/>
      <c r="BO95" s="283"/>
      <c r="BQ95" s="282"/>
    </row>
    <row r="96" spans="1:69" ht="39.75" customHeight="1" x14ac:dyDescent="0.15">
      <c r="B96" s="353" t="s">
        <v>16</v>
      </c>
      <c r="C96" s="353" t="s">
        <v>206</v>
      </c>
      <c r="D96" s="294" t="s">
        <v>340</v>
      </c>
      <c r="E96" s="294" t="s">
        <v>345</v>
      </c>
      <c r="F96" s="294">
        <v>452</v>
      </c>
      <c r="G96" s="294" t="s">
        <v>346</v>
      </c>
      <c r="H96" s="294" t="s">
        <v>351</v>
      </c>
      <c r="I96" s="135" t="s">
        <v>355</v>
      </c>
      <c r="J96" s="135" t="s">
        <v>362</v>
      </c>
      <c r="K96" s="135" t="s">
        <v>471</v>
      </c>
      <c r="L96" s="135" t="s">
        <v>606</v>
      </c>
      <c r="O96" s="213">
        <v>10.09</v>
      </c>
      <c r="P96" s="213">
        <v>4.57</v>
      </c>
      <c r="Q96" s="206">
        <v>11</v>
      </c>
      <c r="R96" s="213">
        <v>23</v>
      </c>
      <c r="S96" s="213">
        <v>11.39</v>
      </c>
      <c r="T96" s="206">
        <v>12</v>
      </c>
      <c r="U96" s="207">
        <f t="shared" si="64"/>
        <v>12.91</v>
      </c>
      <c r="V96" s="207">
        <f t="shared" si="65"/>
        <v>1.2794846382556988</v>
      </c>
      <c r="W96" s="207">
        <f t="shared" si="66"/>
        <v>2.824945295404814</v>
      </c>
      <c r="X96" s="207">
        <f t="shared" si="67"/>
        <v>8.8261033304624306</v>
      </c>
      <c r="Y96" s="207">
        <f t="shared" si="68"/>
        <v>3.5650575880426683</v>
      </c>
      <c r="Z96" s="207">
        <f t="shared" si="69"/>
        <v>3.6212598762220858</v>
      </c>
      <c r="AA96" s="208">
        <f t="shared" si="70"/>
        <v>1.4627066460283102</v>
      </c>
      <c r="AB96" s="207">
        <f t="shared" si="71"/>
        <v>0.52547491632519105</v>
      </c>
      <c r="AC96" s="207">
        <f t="shared" si="49"/>
        <v>3.6215628005848965</v>
      </c>
      <c r="AD96" s="207">
        <f>AC96/SUM($AC$96:$AC$102)</f>
        <v>7.9706890463321616E-3</v>
      </c>
      <c r="AE96" s="206">
        <v>452</v>
      </c>
      <c r="AF96" s="264">
        <f>AE96/SUM($AE$96:$AE$102)</f>
        <v>0.2357850808555034</v>
      </c>
    </row>
    <row r="97" spans="1:69" ht="39" customHeight="1" x14ac:dyDescent="0.15">
      <c r="B97" s="318"/>
      <c r="C97" s="318"/>
      <c r="D97" s="294" t="s">
        <v>340</v>
      </c>
      <c r="E97" s="294" t="s">
        <v>345</v>
      </c>
      <c r="F97" s="294">
        <v>452</v>
      </c>
      <c r="G97" s="294" t="s">
        <v>347</v>
      </c>
      <c r="H97" s="294" t="s">
        <v>351</v>
      </c>
      <c r="I97" s="135" t="s">
        <v>356</v>
      </c>
      <c r="J97" s="135" t="s">
        <v>362</v>
      </c>
      <c r="K97" s="135" t="s">
        <v>472</v>
      </c>
      <c r="L97" s="135" t="s">
        <v>607</v>
      </c>
      <c r="O97" s="213">
        <v>15.85</v>
      </c>
      <c r="P97" s="213">
        <v>20.329999999999998</v>
      </c>
      <c r="Q97" s="206">
        <v>17</v>
      </c>
      <c r="R97" s="213">
        <v>27.9</v>
      </c>
      <c r="S97" s="213">
        <v>13.69</v>
      </c>
      <c r="T97" s="206">
        <v>17</v>
      </c>
      <c r="U97" s="207">
        <f t="shared" si="64"/>
        <v>12.049999999999999</v>
      </c>
      <c r="V97" s="207">
        <f t="shared" si="65"/>
        <v>0.76025236593059931</v>
      </c>
      <c r="W97" s="207">
        <f t="shared" si="66"/>
        <v>0.59272011805213964</v>
      </c>
      <c r="X97" s="207">
        <f t="shared" si="67"/>
        <v>17.330969390083176</v>
      </c>
      <c r="Y97" s="207">
        <f t="shared" si="68"/>
        <v>5.9444734590947874</v>
      </c>
      <c r="Z97" s="207">
        <f t="shared" si="69"/>
        <v>2.0270929095602268</v>
      </c>
      <c r="AA97" s="208">
        <f t="shared" si="70"/>
        <v>0.69528713188398095</v>
      </c>
      <c r="AB97" s="207">
        <f t="shared" si="71"/>
        <v>0.36435431236797139</v>
      </c>
      <c r="AC97" s="207">
        <f t="shared" si="49"/>
        <v>7.5327260257032203</v>
      </c>
      <c r="AD97" s="207">
        <f t="shared" ref="AD97:AD102" si="72">AC97/SUM($AC$96:$AC$102)</f>
        <v>1.6578758985595111E-2</v>
      </c>
      <c r="AE97" s="206">
        <v>452</v>
      </c>
      <c r="AF97" s="264">
        <f t="shared" ref="AF97:AF102" si="73">AE97/SUM($AE$96:$AE$102)</f>
        <v>0.2357850808555034</v>
      </c>
    </row>
    <row r="98" spans="1:69" ht="36" customHeight="1" x14ac:dyDescent="0.15">
      <c r="B98" s="318"/>
      <c r="C98" s="318"/>
      <c r="D98" s="294" t="s">
        <v>341</v>
      </c>
      <c r="E98" s="294" t="s">
        <v>673</v>
      </c>
      <c r="F98" s="294">
        <v>255</v>
      </c>
      <c r="G98" s="294" t="s">
        <v>346</v>
      </c>
      <c r="H98" s="294" t="s">
        <v>351</v>
      </c>
      <c r="I98" s="135" t="s">
        <v>357</v>
      </c>
      <c r="J98" s="135" t="s">
        <v>363</v>
      </c>
      <c r="K98" s="135" t="s">
        <v>474</v>
      </c>
      <c r="L98" s="135" t="s">
        <v>608</v>
      </c>
      <c r="O98" s="213">
        <v>178.93</v>
      </c>
      <c r="P98" s="213">
        <v>56.64</v>
      </c>
      <c r="Q98" s="206">
        <v>10</v>
      </c>
      <c r="R98" s="213">
        <v>147.05000000000001</v>
      </c>
      <c r="S98" s="213">
        <v>57.52</v>
      </c>
      <c r="T98" s="206">
        <v>12</v>
      </c>
      <c r="U98" s="207">
        <f t="shared" si="64"/>
        <v>-31.879999999999995</v>
      </c>
      <c r="V98" s="207">
        <f t="shared" si="65"/>
        <v>-0.17817023416978703</v>
      </c>
      <c r="W98" s="207">
        <f t="shared" si="66"/>
        <v>-0.56285310734463267</v>
      </c>
      <c r="X98" s="207">
        <f t="shared" si="67"/>
        <v>57.125677588979201</v>
      </c>
      <c r="Y98" s="207">
        <f t="shared" si="68"/>
        <v>24.423789495762801</v>
      </c>
      <c r="Z98" s="207">
        <f t="shared" si="69"/>
        <v>-1.3052847513908825</v>
      </c>
      <c r="AA98" s="208">
        <f t="shared" si="70"/>
        <v>-0.5580677787207613</v>
      </c>
      <c r="AB98" s="207">
        <f t="shared" si="71"/>
        <v>0.44598802182979036</v>
      </c>
      <c r="AC98" s="207">
        <f t="shared" si="49"/>
        <v>5.0275177257320198</v>
      </c>
      <c r="AD98" s="207">
        <f t="shared" si="72"/>
        <v>1.1065051932900648E-2</v>
      </c>
      <c r="AE98" s="247">
        <v>255</v>
      </c>
      <c r="AF98" s="264">
        <f t="shared" si="73"/>
        <v>0.13302034428794993</v>
      </c>
    </row>
    <row r="99" spans="1:69" ht="39.75" customHeight="1" x14ac:dyDescent="0.15">
      <c r="B99" s="318"/>
      <c r="C99" s="318"/>
      <c r="D99" s="294" t="s">
        <v>341</v>
      </c>
      <c r="E99" s="294" t="s">
        <v>673</v>
      </c>
      <c r="F99" s="294">
        <v>255</v>
      </c>
      <c r="G99" s="294" t="s">
        <v>346</v>
      </c>
      <c r="H99" s="294" t="s">
        <v>351</v>
      </c>
      <c r="I99" s="135" t="s">
        <v>358</v>
      </c>
      <c r="J99" s="135" t="s">
        <v>364</v>
      </c>
      <c r="K99" s="135" t="s">
        <v>473</v>
      </c>
      <c r="L99" s="135" t="s">
        <v>609</v>
      </c>
      <c r="O99" s="213">
        <v>178.93</v>
      </c>
      <c r="P99" s="213">
        <v>56.64</v>
      </c>
      <c r="Q99" s="206">
        <v>10</v>
      </c>
      <c r="R99" s="213">
        <v>260.73</v>
      </c>
      <c r="S99" s="213">
        <v>135.16</v>
      </c>
      <c r="T99" s="206">
        <v>17</v>
      </c>
      <c r="U99" s="207">
        <f t="shared" si="64"/>
        <v>81.800000000000011</v>
      </c>
      <c r="V99" s="207">
        <f t="shared" si="65"/>
        <v>0.45716201866651768</v>
      </c>
      <c r="W99" s="207">
        <f t="shared" si="66"/>
        <v>1.4442090395480227</v>
      </c>
      <c r="X99" s="207">
        <f t="shared" si="67"/>
        <v>113.3427396880806</v>
      </c>
      <c r="Y99" s="207">
        <f t="shared" si="68"/>
        <v>37.355193291995597</v>
      </c>
      <c r="Z99" s="207">
        <f t="shared" si="69"/>
        <v>2.189789231194474</v>
      </c>
      <c r="AA99" s="208">
        <f t="shared" si="70"/>
        <v>0.72170480636972201</v>
      </c>
      <c r="AB99" s="207">
        <f t="shared" si="71"/>
        <v>0.42386064043887234</v>
      </c>
      <c r="AC99" s="207">
        <f t="shared" si="49"/>
        <v>5.5661360840746106</v>
      </c>
      <c r="AD99" s="207">
        <f t="shared" si="72"/>
        <v>1.22504958104171E-2</v>
      </c>
      <c r="AE99" s="247">
        <v>255</v>
      </c>
      <c r="AF99" s="264">
        <f t="shared" si="73"/>
        <v>0.13302034428794993</v>
      </c>
    </row>
    <row r="100" spans="1:69" ht="36" customHeight="1" x14ac:dyDescent="0.15">
      <c r="B100" s="318"/>
      <c r="C100" s="318"/>
      <c r="D100" s="294" t="s">
        <v>342</v>
      </c>
      <c r="E100" s="294" t="s">
        <v>290</v>
      </c>
      <c r="F100" s="294">
        <v>175</v>
      </c>
      <c r="G100" s="137" t="s">
        <v>348</v>
      </c>
      <c r="H100" s="140" t="s">
        <v>352</v>
      </c>
      <c r="I100" s="135" t="s">
        <v>359</v>
      </c>
      <c r="J100" s="135" t="s">
        <v>365</v>
      </c>
      <c r="K100" s="135" t="s">
        <v>475</v>
      </c>
      <c r="L100" s="135" t="s">
        <v>610</v>
      </c>
      <c r="O100" s="213">
        <v>0.76200000000000001</v>
      </c>
      <c r="P100" s="213">
        <f>SQRT(O100*(1-O100))</f>
        <v>0.4258591316386206</v>
      </c>
      <c r="Q100" s="206">
        <v>798</v>
      </c>
      <c r="R100" s="213">
        <v>0.80600000000000005</v>
      </c>
      <c r="S100" s="213">
        <f>SQRT(R100*(1-R100))</f>
        <v>0.395428881089887</v>
      </c>
      <c r="T100" s="206">
        <v>845</v>
      </c>
      <c r="U100" s="207">
        <f t="shared" si="64"/>
        <v>4.4000000000000039E-2</v>
      </c>
      <c r="V100" s="207">
        <f t="shared" si="65"/>
        <v>5.7742782152231019E-2</v>
      </c>
      <c r="W100" s="207">
        <f t="shared" si="66"/>
        <v>0.10332055069641657</v>
      </c>
      <c r="X100" s="207">
        <f t="shared" si="67"/>
        <v>0.41049007437187879</v>
      </c>
      <c r="Y100" s="207">
        <f t="shared" si="68"/>
        <v>2.030540104851147E-2</v>
      </c>
      <c r="Z100" s="207">
        <f t="shared" si="69"/>
        <v>2.1669111530907466</v>
      </c>
      <c r="AA100" s="208">
        <f t="shared" si="70"/>
        <v>0.10718894986030464</v>
      </c>
      <c r="AB100" s="207">
        <f t="shared" si="71"/>
        <v>4.9432441680692926E-2</v>
      </c>
      <c r="AC100" s="207">
        <f t="shared" si="49"/>
        <v>409.23792568328429</v>
      </c>
      <c r="AD100" s="207">
        <f t="shared" si="72"/>
        <v>0.90069078770652233</v>
      </c>
      <c r="AE100" s="206">
        <v>175</v>
      </c>
      <c r="AF100" s="264">
        <f t="shared" si="73"/>
        <v>9.1288471570161706E-2</v>
      </c>
    </row>
    <row r="101" spans="1:69" ht="36.75" customHeight="1" x14ac:dyDescent="0.15">
      <c r="B101" s="318"/>
      <c r="C101" s="318"/>
      <c r="D101" s="294" t="s">
        <v>343</v>
      </c>
      <c r="E101" s="294" t="s">
        <v>674</v>
      </c>
      <c r="F101" s="294">
        <v>212</v>
      </c>
      <c r="G101" s="294" t="s">
        <v>349</v>
      </c>
      <c r="H101" s="294" t="s">
        <v>353</v>
      </c>
      <c r="I101" s="135" t="s">
        <v>360</v>
      </c>
      <c r="J101" s="135" t="s">
        <v>366</v>
      </c>
      <c r="K101" s="135" t="s">
        <v>476</v>
      </c>
      <c r="L101" s="135" t="s">
        <v>611</v>
      </c>
      <c r="O101" s="213">
        <v>46.23</v>
      </c>
      <c r="P101" s="213">
        <v>39.299999999999997</v>
      </c>
      <c r="Q101" s="206">
        <v>26</v>
      </c>
      <c r="R101" s="213">
        <f>(151.8*15/45) + (77.67*12/45) + (271.22*18/45)</f>
        <v>179.8</v>
      </c>
      <c r="S101" s="213">
        <f>SQRT(((102.34^2*(15-1)) + (50.68^2*(12-1)) + (92.15^2*(18-1)))/(45-3))</f>
        <v>87.183349122901404</v>
      </c>
      <c r="T101" s="206">
        <v>45</v>
      </c>
      <c r="U101" s="207">
        <f t="shared" si="64"/>
        <v>133.57000000000002</v>
      </c>
      <c r="V101" s="207">
        <f t="shared" si="65"/>
        <v>2.8892494051481727</v>
      </c>
      <c r="W101" s="207">
        <f t="shared" si="66"/>
        <v>3.3987277353689573</v>
      </c>
      <c r="X101" s="207">
        <f t="shared" si="67"/>
        <v>73.529393711253419</v>
      </c>
      <c r="Y101" s="207">
        <f t="shared" si="68"/>
        <v>15.110035027179403</v>
      </c>
      <c r="Z101" s="207">
        <f t="shared" si="69"/>
        <v>8.8398206728004904</v>
      </c>
      <c r="AA101" s="208">
        <f t="shared" si="70"/>
        <v>1.8165524460125881</v>
      </c>
      <c r="AB101" s="207">
        <f t="shared" si="71"/>
        <v>0.32940531124546518</v>
      </c>
      <c r="AC101" s="207">
        <f t="shared" si="49"/>
        <v>9.2159223166769699</v>
      </c>
      <c r="AD101" s="207">
        <f t="shared" si="72"/>
        <v>2.0283301741867245E-2</v>
      </c>
      <c r="AE101" s="206">
        <v>212</v>
      </c>
      <c r="AF101" s="264">
        <f t="shared" si="73"/>
        <v>0.11058946270213876</v>
      </c>
    </row>
    <row r="102" spans="1:69" ht="32.25" customHeight="1" x14ac:dyDescent="0.15">
      <c r="B102" s="318"/>
      <c r="C102" s="318"/>
      <c r="D102" s="294" t="s">
        <v>344</v>
      </c>
      <c r="E102" s="294" t="s">
        <v>290</v>
      </c>
      <c r="F102" s="294">
        <v>116</v>
      </c>
      <c r="G102" s="294" t="s">
        <v>350</v>
      </c>
      <c r="H102" s="294" t="s">
        <v>354</v>
      </c>
      <c r="I102" s="135" t="s">
        <v>361</v>
      </c>
      <c r="J102" s="135" t="s">
        <v>367</v>
      </c>
      <c r="K102" s="135" t="s">
        <v>477</v>
      </c>
      <c r="L102" s="135" t="s">
        <v>612</v>
      </c>
      <c r="O102" s="213">
        <f>AVERAGE(2,3,3,4,4,4,5,5,5,5,5,6,6,6,6,6,6,6,7,7,7,7,8,8,8,8,8,8,8,11,11,11,11,11,11)</f>
        <v>6.7714285714285714</v>
      </c>
      <c r="P102" s="213">
        <f>STDEV(2,3,3,4,4,4,5,5,5,5,5,6,6,6,6,6,6,6,7,7,7,7,8,8,8,8,8,8,8,11,11,11,11,11,11)</f>
        <v>2.4980664791902121</v>
      </c>
      <c r="Q102" s="206">
        <v>35</v>
      </c>
      <c r="R102" s="213">
        <f>AVERAGE(3,4,5,5,6,7,7,8,8,8,8,8,8,8,8,9,9,11,11,11,11,11,11,11,11,11,11,11,11,11,11,11,11,12)</f>
        <v>9.0294117647058822</v>
      </c>
      <c r="S102" s="213">
        <f>STDEV(3,4,5,5,6,7,7,8,8,8,8,8,8,8,8,9,9,11,11,11,11,11,11,11,11,11,11,11,11,11,11,11,11,12)</f>
        <v>2.4056158301527781</v>
      </c>
      <c r="T102" s="206">
        <v>34</v>
      </c>
      <c r="U102" s="207">
        <f t="shared" si="64"/>
        <v>2.2579831932773109</v>
      </c>
      <c r="V102" s="207">
        <f t="shared" si="65"/>
        <v>0.33345743360635394</v>
      </c>
      <c r="W102" s="207">
        <f t="shared" si="66"/>
        <v>0.90389235518234567</v>
      </c>
      <c r="X102" s="207">
        <f t="shared" si="67"/>
        <v>2.4529665768138815</v>
      </c>
      <c r="Y102" s="207">
        <f t="shared" si="68"/>
        <v>0.5903395916660813</v>
      </c>
      <c r="Z102" s="207">
        <f t="shared" si="69"/>
        <v>3.8248886321595599</v>
      </c>
      <c r="AA102" s="208">
        <f t="shared" si="70"/>
        <v>0.9205111943311387</v>
      </c>
      <c r="AB102" s="207">
        <f t="shared" si="71"/>
        <v>0.26576318738341215</v>
      </c>
      <c r="AC102" s="207">
        <f t="shared" si="49"/>
        <v>14.158275292173293</v>
      </c>
      <c r="AD102" s="207">
        <f t="shared" si="72"/>
        <v>3.1160914776365341E-2</v>
      </c>
      <c r="AE102" s="206">
        <v>116</v>
      </c>
      <c r="AF102" s="264">
        <f t="shared" si="73"/>
        <v>6.0511215440792902E-2</v>
      </c>
      <c r="AH102" s="265" t="s">
        <v>1008</v>
      </c>
      <c r="AI102" s="214">
        <f>SUMPRODUCT(AD96:AD102,AA96:AA102)</f>
        <v>0.18792572233270768</v>
      </c>
      <c r="AJ102" s="265" t="s">
        <v>1009</v>
      </c>
      <c r="AK102" s="299">
        <f>SQRT(SUMPRODUCT(AD96:AD102,AD96:AD102,AB96:AB102,AB96:AB102))</f>
        <v>4.6913725571704028E-2</v>
      </c>
      <c r="AM102" s="290" t="s">
        <v>998</v>
      </c>
      <c r="AN102" s="214">
        <f>SUMPRODUCT(AF96:AF102,AA96:AA102)</f>
        <v>0.79696771673942346</v>
      </c>
      <c r="AO102" s="265" t="s">
        <v>999</v>
      </c>
      <c r="AP102" s="266">
        <f>SQRT(SUMPRODUCT(AF96:AF102,AF96:AF102,AB96:AB102,AB96:AB102))</f>
        <v>0.17617008267364201</v>
      </c>
      <c r="AR102" s="265" t="s">
        <v>1000</v>
      </c>
      <c r="AS102" s="266">
        <f>AA103</f>
        <v>0.31226933582224559</v>
      </c>
      <c r="AT102" s="265" t="s">
        <v>1001</v>
      </c>
      <c r="AU102" s="266">
        <f>AB103</f>
        <v>6.1206231980359682E-2</v>
      </c>
      <c r="AV102" s="266"/>
      <c r="AW102" s="265" t="s">
        <v>1002</v>
      </c>
      <c r="AX102" s="266">
        <f>AA104</f>
        <v>0.33650942125136962</v>
      </c>
      <c r="AY102" s="265" t="s">
        <v>1003</v>
      </c>
      <c r="AZ102" s="266">
        <f>AB104</f>
        <v>6.1323766571439411E-2</v>
      </c>
      <c r="BA102" s="266"/>
      <c r="BB102" s="290" t="s">
        <v>1010</v>
      </c>
      <c r="BC102" s="245">
        <f>O103+AI102*X103</f>
        <v>1652.7956279072187</v>
      </c>
      <c r="BD102" s="265" t="s">
        <v>1011</v>
      </c>
      <c r="BE102" s="299">
        <f>X103*AK102</f>
        <v>32.90142425656407</v>
      </c>
      <c r="BG102" s="265" t="s">
        <v>1012</v>
      </c>
      <c r="BH102" s="243">
        <f>O103+AN102*X103</f>
        <v>2079.9275344835191</v>
      </c>
      <c r="BI102" s="265" t="s">
        <v>1013</v>
      </c>
      <c r="BJ102" s="266">
        <f>X103*AP102</f>
        <v>123.55119020552621</v>
      </c>
      <c r="BL102" s="290" t="s">
        <v>1014</v>
      </c>
      <c r="BM102" s="304">
        <v>230.15</v>
      </c>
      <c r="BN102" s="290" t="s">
        <v>1015</v>
      </c>
      <c r="BO102" s="309">
        <v>208</v>
      </c>
      <c r="BP102" s="305" t="s">
        <v>1016</v>
      </c>
      <c r="BQ102" s="266">
        <f>BM102/SQRT(BO102)</f>
        <v>15.958031270154562</v>
      </c>
    </row>
    <row r="103" spans="1:69" s="280" customFormat="1" ht="32.25" hidden="1" customHeight="1" x14ac:dyDescent="0.15">
      <c r="A103" s="271"/>
      <c r="B103" s="272"/>
      <c r="C103" s="272"/>
      <c r="D103" s="273" t="s">
        <v>1004</v>
      </c>
      <c r="E103" s="272"/>
      <c r="F103" s="272"/>
      <c r="G103" s="272"/>
      <c r="H103" s="272"/>
      <c r="I103" s="285"/>
      <c r="J103" s="285"/>
      <c r="K103" s="285"/>
      <c r="L103" s="285"/>
      <c r="M103" s="271"/>
      <c r="N103" s="271"/>
      <c r="O103" s="275">
        <v>1521</v>
      </c>
      <c r="P103" s="275">
        <f>31.22*SQRT(Q103)</f>
        <v>725.48724041157323</v>
      </c>
      <c r="Q103" s="276">
        <v>540</v>
      </c>
      <c r="R103" s="275">
        <v>1740</v>
      </c>
      <c r="S103" s="275">
        <f>28.76*SQRT(T103)</f>
        <v>676.93000406245847</v>
      </c>
      <c r="T103" s="276">
        <v>554</v>
      </c>
      <c r="U103" s="277">
        <f>R103-O103</f>
        <v>219</v>
      </c>
      <c r="V103" s="277">
        <f>U103/R103</f>
        <v>0.12586206896551724</v>
      </c>
      <c r="W103" s="277">
        <f>U103/S103</f>
        <v>0.32351941660986483</v>
      </c>
      <c r="X103" s="277">
        <f>SQRT(((T103-1)*S103^2 + (Q103-1)*P103^2)/(T103+Q103-2))</f>
        <v>701.31766035670671</v>
      </c>
      <c r="Y103" s="277">
        <f>SQRT(S103^2/T103 + P103^2/Q103)</f>
        <v>42.447921032719613</v>
      </c>
      <c r="Z103" s="277">
        <f>U103/Y103</f>
        <v>5.1592632730161485</v>
      </c>
      <c r="AA103" s="278">
        <f>U103/X103</f>
        <v>0.31226933582224559</v>
      </c>
      <c r="AB103" s="277">
        <f>SQRT(((T103+Q103)/(T103*Q103)) + ((AA103^2)/(T103+Q103-2)))</f>
        <v>6.1206231980359682E-2</v>
      </c>
      <c r="AC103" s="207"/>
      <c r="AD103" s="207"/>
      <c r="AE103" s="276"/>
      <c r="AF103" s="279"/>
      <c r="AG103" s="279"/>
      <c r="AH103" s="291"/>
      <c r="AI103" s="306"/>
      <c r="AJ103" s="281"/>
      <c r="AK103" s="307"/>
      <c r="AL103" s="282"/>
      <c r="AM103" s="291"/>
      <c r="AN103" s="306"/>
      <c r="AO103" s="281"/>
      <c r="AP103" s="282"/>
      <c r="AR103" s="281"/>
      <c r="AS103" s="283"/>
      <c r="AT103" s="281"/>
      <c r="AU103" s="283"/>
      <c r="AV103" s="283"/>
      <c r="AW103" s="281"/>
      <c r="AX103" s="283"/>
      <c r="AY103" s="281"/>
      <c r="AZ103" s="283"/>
      <c r="BA103" s="283"/>
      <c r="BB103" s="281"/>
      <c r="BD103" s="281"/>
      <c r="BE103" s="307"/>
      <c r="BH103" s="283"/>
      <c r="BJ103" s="282"/>
      <c r="BK103" s="308"/>
      <c r="BM103" s="283"/>
      <c r="BO103" s="283"/>
      <c r="BQ103" s="282"/>
    </row>
    <row r="104" spans="1:69" s="280" customFormat="1" ht="32.25" hidden="1" customHeight="1" x14ac:dyDescent="0.15">
      <c r="A104" s="271"/>
      <c r="B104" s="272"/>
      <c r="C104" s="272"/>
      <c r="D104" s="273" t="s">
        <v>1005</v>
      </c>
      <c r="E104" s="272"/>
      <c r="F104" s="272"/>
      <c r="G104" s="272"/>
      <c r="H104" s="272"/>
      <c r="I104" s="285"/>
      <c r="J104" s="285"/>
      <c r="K104" s="285"/>
      <c r="L104" s="285"/>
      <c r="M104" s="271"/>
      <c r="N104" s="271"/>
      <c r="O104" s="275">
        <v>1521</v>
      </c>
      <c r="P104" s="275">
        <f>31.22*SQRT(Q104)</f>
        <v>725.48724041157323</v>
      </c>
      <c r="Q104" s="276">
        <v>540</v>
      </c>
      <c r="R104" s="275">
        <v>1757</v>
      </c>
      <c r="S104" s="275">
        <f>28.76*SQRT(T104)</f>
        <v>676.93000406245847</v>
      </c>
      <c r="T104" s="276">
        <v>554</v>
      </c>
      <c r="U104" s="277">
        <f>R104-O104</f>
        <v>236</v>
      </c>
      <c r="V104" s="277">
        <f>U104/R104</f>
        <v>0.13431986340352875</v>
      </c>
      <c r="W104" s="277">
        <f>U104/S104</f>
        <v>0.34863279598140684</v>
      </c>
      <c r="X104" s="277">
        <f>SQRT(((T104-1)*S104^2 + (Q104-1)*P104^2)/(T104+Q104-2))</f>
        <v>701.31766035670671</v>
      </c>
      <c r="Y104" s="277">
        <f>SQRT(S104^2/T104 + P104^2/Q104)</f>
        <v>42.447921032719613</v>
      </c>
      <c r="Z104" s="277">
        <f>U104/Y104</f>
        <v>5.5597540293690004</v>
      </c>
      <c r="AA104" s="278">
        <f>U104/X104</f>
        <v>0.33650942125136962</v>
      </c>
      <c r="AB104" s="277">
        <f>SQRT(((T104+Q104)/(T104*Q104)) + ((AA104^2)/(T104+Q104-2)))</f>
        <v>6.1323766571439411E-2</v>
      </c>
      <c r="AC104" s="207"/>
      <c r="AD104" s="207"/>
      <c r="AE104" s="276"/>
      <c r="AF104" s="279"/>
      <c r="AG104" s="279"/>
      <c r="AH104" s="291"/>
      <c r="AI104" s="306"/>
      <c r="AJ104" s="281"/>
      <c r="AK104" s="307"/>
      <c r="AL104" s="282"/>
      <c r="AM104" s="291"/>
      <c r="AN104" s="306"/>
      <c r="AO104" s="281"/>
      <c r="AP104" s="282"/>
      <c r="AR104" s="281"/>
      <c r="AS104" s="283"/>
      <c r="AT104" s="281"/>
      <c r="AU104" s="283"/>
      <c r="AV104" s="283"/>
      <c r="AW104" s="281"/>
      <c r="AX104" s="283"/>
      <c r="AY104" s="281"/>
      <c r="AZ104" s="283"/>
      <c r="BA104" s="283"/>
      <c r="BB104" s="281"/>
      <c r="BD104" s="281"/>
      <c r="BE104" s="307"/>
      <c r="BH104" s="283"/>
      <c r="BJ104" s="282"/>
      <c r="BK104" s="308"/>
      <c r="BM104" s="283"/>
      <c r="BO104" s="283"/>
      <c r="BQ104" s="282"/>
    </row>
    <row r="105" spans="1:69" ht="21" customHeight="1" x14ac:dyDescent="0.15">
      <c r="B105" s="324" t="s">
        <v>679</v>
      </c>
      <c r="C105" s="324"/>
      <c r="D105" s="324"/>
      <c r="E105" s="324"/>
      <c r="F105" s="324"/>
      <c r="G105" s="324"/>
      <c r="H105" s="324"/>
      <c r="I105" s="324"/>
      <c r="J105" s="324"/>
      <c r="K105" s="324"/>
      <c r="L105" s="324"/>
    </row>
  </sheetData>
  <mergeCells count="21">
    <mergeCell ref="B105:L105"/>
    <mergeCell ref="B83:B86"/>
    <mergeCell ref="C83:C86"/>
    <mergeCell ref="B89:B93"/>
    <mergeCell ref="C89:C93"/>
    <mergeCell ref="B96:B102"/>
    <mergeCell ref="C96:C102"/>
    <mergeCell ref="B3:L3"/>
    <mergeCell ref="B16:B34"/>
    <mergeCell ref="C16:C20"/>
    <mergeCell ref="C23:C27"/>
    <mergeCell ref="C30:C34"/>
    <mergeCell ref="B80:L80"/>
    <mergeCell ref="B6:B13"/>
    <mergeCell ref="C6:C13"/>
    <mergeCell ref="B38:L38"/>
    <mergeCell ref="B42:B55"/>
    <mergeCell ref="C42:C55"/>
    <mergeCell ref="B59:L59"/>
    <mergeCell ref="B62:B76"/>
    <mergeCell ref="C62:C76"/>
  </mergeCells>
  <pageMargins left="0.7" right="0.7" top="0.75" bottom="0.75" header="0.3" footer="0.3"/>
  <pageSetup paperSize="9" orientation="portrait" verticalDpi="599"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K30"/>
  <sheetViews>
    <sheetView workbookViewId="0">
      <selection sqref="A1:C30"/>
    </sheetView>
  </sheetViews>
  <sheetFormatPr baseColWidth="10" defaultColWidth="12.5" defaultRowHeight="13" x14ac:dyDescent="0.2"/>
  <cols>
    <col min="1" max="1" width="14.33203125" style="182" customWidth="1"/>
    <col min="2" max="2" width="26" style="182" customWidth="1"/>
    <col min="3" max="3" width="96.5" style="182" customWidth="1"/>
    <col min="4" max="16384" width="12.5" style="182"/>
  </cols>
  <sheetData>
    <row r="1" spans="1:11" ht="16" x14ac:dyDescent="0.2">
      <c r="A1" s="314" t="s">
        <v>767</v>
      </c>
      <c r="B1" s="314"/>
      <c r="C1" s="314"/>
      <c r="D1" s="168"/>
      <c r="E1" s="168"/>
      <c r="F1" s="168"/>
      <c r="G1" s="168"/>
      <c r="H1" s="168"/>
      <c r="I1" s="168"/>
      <c r="J1" s="168"/>
      <c r="K1" s="168"/>
    </row>
    <row r="2" spans="1:11" x14ac:dyDescent="0.2">
      <c r="A2" s="184" t="s">
        <v>128</v>
      </c>
      <c r="B2" s="313" t="s">
        <v>218</v>
      </c>
      <c r="C2" s="313" t="s">
        <v>751</v>
      </c>
    </row>
    <row r="3" spans="1:11" x14ac:dyDescent="0.2">
      <c r="A3" s="356" t="s">
        <v>752</v>
      </c>
      <c r="B3" s="183" t="s">
        <v>219</v>
      </c>
      <c r="C3" s="183" t="s">
        <v>753</v>
      </c>
    </row>
    <row r="4" spans="1:11" x14ac:dyDescent="0.2">
      <c r="A4" s="357"/>
      <c r="B4" s="183" t="s">
        <v>676</v>
      </c>
      <c r="C4" s="183" t="s">
        <v>754</v>
      </c>
    </row>
    <row r="5" spans="1:11" ht="26" x14ac:dyDescent="0.2">
      <c r="A5" s="357"/>
      <c r="B5" s="183" t="s">
        <v>676</v>
      </c>
      <c r="C5" s="183" t="s">
        <v>768</v>
      </c>
    </row>
    <row r="6" spans="1:11" ht="26" x14ac:dyDescent="0.2">
      <c r="A6" s="357"/>
      <c r="B6" s="183" t="s">
        <v>794</v>
      </c>
      <c r="C6" s="183" t="s">
        <v>755</v>
      </c>
    </row>
    <row r="7" spans="1:11" ht="28.5" customHeight="1" x14ac:dyDescent="0.2">
      <c r="A7" s="357"/>
      <c r="B7" s="183" t="s">
        <v>249</v>
      </c>
      <c r="C7" s="183" t="s">
        <v>782</v>
      </c>
    </row>
    <row r="8" spans="1:11" ht="24.75" customHeight="1" x14ac:dyDescent="0.2">
      <c r="A8" s="357"/>
      <c r="B8" s="183" t="s">
        <v>252</v>
      </c>
      <c r="C8" s="183" t="s">
        <v>769</v>
      </c>
    </row>
    <row r="9" spans="1:11" ht="39" customHeight="1" x14ac:dyDescent="0.2">
      <c r="A9" s="358"/>
      <c r="B9" s="185" t="s">
        <v>256</v>
      </c>
      <c r="C9" s="185" t="s">
        <v>756</v>
      </c>
    </row>
    <row r="10" spans="1:11" x14ac:dyDescent="0.2">
      <c r="A10" s="356" t="s">
        <v>129</v>
      </c>
      <c r="B10" s="183" t="s">
        <v>265</v>
      </c>
      <c r="C10" s="183" t="s">
        <v>783</v>
      </c>
    </row>
    <row r="11" spans="1:11" ht="26" x14ac:dyDescent="0.2">
      <c r="A11" s="358"/>
      <c r="B11" s="185" t="s">
        <v>266</v>
      </c>
      <c r="C11" s="185" t="s">
        <v>770</v>
      </c>
    </row>
    <row r="12" spans="1:11" ht="31.5" customHeight="1" x14ac:dyDescent="0.2">
      <c r="A12" s="357" t="s">
        <v>757</v>
      </c>
      <c r="B12" s="183" t="s">
        <v>316</v>
      </c>
      <c r="C12" s="183" t="s">
        <v>784</v>
      </c>
    </row>
    <row r="13" spans="1:11" ht="26" x14ac:dyDescent="0.2">
      <c r="A13" s="357"/>
      <c r="B13" s="183" t="s">
        <v>317</v>
      </c>
      <c r="C13" s="183" t="s">
        <v>795</v>
      </c>
    </row>
    <row r="14" spans="1:11" ht="65.25" customHeight="1" x14ac:dyDescent="0.2">
      <c r="A14" s="357"/>
      <c r="B14" s="183" t="s">
        <v>318</v>
      </c>
      <c r="C14" s="183" t="s">
        <v>758</v>
      </c>
    </row>
    <row r="15" spans="1:11" ht="65.25" customHeight="1" x14ac:dyDescent="0.2">
      <c r="A15" s="357"/>
      <c r="B15" s="183" t="s">
        <v>319</v>
      </c>
      <c r="C15" s="183" t="s">
        <v>771</v>
      </c>
    </row>
    <row r="16" spans="1:11" ht="26" x14ac:dyDescent="0.2">
      <c r="A16" s="358"/>
      <c r="B16" s="185" t="s">
        <v>320</v>
      </c>
      <c r="C16" s="185" t="s">
        <v>772</v>
      </c>
    </row>
    <row r="17" spans="1:3" ht="26" x14ac:dyDescent="0.2">
      <c r="A17" s="357" t="s">
        <v>16</v>
      </c>
      <c r="B17" s="183" t="s">
        <v>343</v>
      </c>
      <c r="C17" s="183" t="s">
        <v>773</v>
      </c>
    </row>
    <row r="18" spans="1:3" ht="26" x14ac:dyDescent="0.2">
      <c r="A18" s="357"/>
      <c r="B18" s="185" t="s">
        <v>344</v>
      </c>
      <c r="C18" s="185" t="s">
        <v>774</v>
      </c>
    </row>
    <row r="19" spans="1:3" x14ac:dyDescent="0.2">
      <c r="A19" s="356" t="s">
        <v>759</v>
      </c>
      <c r="B19" s="183" t="s">
        <v>508</v>
      </c>
      <c r="C19" s="183" t="s">
        <v>760</v>
      </c>
    </row>
    <row r="20" spans="1:3" ht="26" x14ac:dyDescent="0.2">
      <c r="A20" s="357"/>
      <c r="B20" s="183" t="s">
        <v>512</v>
      </c>
      <c r="C20" s="183" t="s">
        <v>761</v>
      </c>
    </row>
    <row r="21" spans="1:3" ht="18" customHeight="1" x14ac:dyDescent="0.2">
      <c r="A21" s="357"/>
      <c r="B21" s="183" t="s">
        <v>513</v>
      </c>
      <c r="C21" s="183" t="s">
        <v>762</v>
      </c>
    </row>
    <row r="22" spans="1:3" ht="52" x14ac:dyDescent="0.2">
      <c r="A22" s="358"/>
      <c r="B22" s="185" t="s">
        <v>514</v>
      </c>
      <c r="C22" s="185" t="s">
        <v>763</v>
      </c>
    </row>
    <row r="23" spans="1:3" ht="64.5" customHeight="1" x14ac:dyDescent="0.2">
      <c r="A23" s="356" t="s">
        <v>764</v>
      </c>
      <c r="B23" s="183" t="s">
        <v>369</v>
      </c>
      <c r="C23" s="183" t="s">
        <v>775</v>
      </c>
    </row>
    <row r="24" spans="1:3" ht="26" x14ac:dyDescent="0.2">
      <c r="A24" s="358"/>
      <c r="B24" s="185" t="s">
        <v>370</v>
      </c>
      <c r="C24" s="185" t="s">
        <v>776</v>
      </c>
    </row>
    <row r="25" spans="1:3" ht="52" x14ac:dyDescent="0.2">
      <c r="A25" s="357" t="s">
        <v>765</v>
      </c>
      <c r="B25" s="183" t="s">
        <v>391</v>
      </c>
      <c r="C25" s="183" t="s">
        <v>777</v>
      </c>
    </row>
    <row r="26" spans="1:3" ht="52" x14ac:dyDescent="0.2">
      <c r="A26" s="357"/>
      <c r="B26" s="183" t="s">
        <v>392</v>
      </c>
      <c r="C26" s="183" t="s">
        <v>766</v>
      </c>
    </row>
    <row r="27" spans="1:3" ht="26" x14ac:dyDescent="0.2">
      <c r="A27" s="357"/>
      <c r="B27" s="183" t="s">
        <v>393</v>
      </c>
      <c r="C27" s="183" t="s">
        <v>778</v>
      </c>
    </row>
    <row r="28" spans="1:3" ht="39" x14ac:dyDescent="0.2">
      <c r="A28" s="357"/>
      <c r="B28" s="183" t="s">
        <v>412</v>
      </c>
      <c r="C28" s="183" t="s">
        <v>779</v>
      </c>
    </row>
    <row r="29" spans="1:3" ht="39.75" customHeight="1" x14ac:dyDescent="0.2">
      <c r="A29" s="357"/>
      <c r="B29" s="183" t="s">
        <v>394</v>
      </c>
      <c r="C29" s="183" t="s">
        <v>780</v>
      </c>
    </row>
    <row r="30" spans="1:3" ht="39" x14ac:dyDescent="0.2">
      <c r="A30" s="358"/>
      <c r="B30" s="185" t="s">
        <v>395</v>
      </c>
      <c r="C30" s="185" t="s">
        <v>781</v>
      </c>
    </row>
  </sheetData>
  <mergeCells count="8">
    <mergeCell ref="A19:A22"/>
    <mergeCell ref="A23:A24"/>
    <mergeCell ref="A25:A30"/>
    <mergeCell ref="A1:C1"/>
    <mergeCell ref="A3:A9"/>
    <mergeCell ref="A10:A11"/>
    <mergeCell ref="A12:A16"/>
    <mergeCell ref="A17:A18"/>
  </mergeCells>
  <pageMargins left="0.75" right="0.75" top="1" bottom="1" header="0.5" footer="0.5"/>
  <pageSetup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Table1Treatments</vt:lpstr>
      <vt:lpstr>Table2SumStatsExperts</vt:lpstr>
      <vt:lpstr>Table3EffortForecasts</vt:lpstr>
      <vt:lpstr>Table4MetaAnalysis</vt:lpstr>
      <vt:lpstr>Table5StrEst</vt:lpstr>
      <vt:lpstr>Table6StrEstRefDepNLS</vt:lpstr>
      <vt:lpstr>OnlAppTable1SumStatsMTurk</vt:lpstr>
      <vt:lpstr>OnlAppTable2MetaAnalysis</vt:lpstr>
      <vt:lpstr>OnlAppTableNotesPanelE</vt:lpstr>
      <vt:lpstr>OnlAppTable3MetaAnalysisTheory</vt:lpstr>
      <vt:lpstr>OnlAppTable4StrEstRobust</vt:lpstr>
      <vt:lpstr>Beh Fig3</vt:lpstr>
      <vt:lpstr>Beh Fig5</vt:lpstr>
      <vt:lpstr>Fig6 Data</vt:lpstr>
      <vt:lpstr>Fig6a</vt:lpstr>
      <vt:lpstr>Fig6b</vt:lpstr>
      <vt:lpstr>Fig6c</vt:lpstr>
      <vt:lpstr>Fig6d</vt:lpstr>
      <vt:lpstr>Beh Fig7</vt:lpstr>
      <vt:lpstr>Beh OAFig6</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sdellavi</dc:creator>
  <cp:lastModifiedBy>Microsoft Office User</cp:lastModifiedBy>
  <cp:lastPrinted>2017-04-21T00:01:13Z</cp:lastPrinted>
  <dcterms:created xsi:type="dcterms:W3CDTF">2016-01-16T07:47:57Z</dcterms:created>
  <dcterms:modified xsi:type="dcterms:W3CDTF">2017-04-22T15:48:24Z</dcterms:modified>
</cp:coreProperties>
</file>